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harts/chart2.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codeName="ThisWorkbook" autoCompressPictures="0"/>
  <bookViews>
    <workbookView xWindow="20980" yWindow="0" windowWidth="27920" windowHeight="21060"/>
  </bookViews>
  <sheets>
    <sheet name="Cover" sheetId="11" r:id="rId1"/>
    <sheet name="Home" sheetId="10" r:id="rId2"/>
    <sheet name="Rules" sheetId="20" r:id="rId3"/>
    <sheet name="Statements" sheetId="21" r:id="rId4"/>
    <sheet name="Cash" sheetId="25" r:id="rId5"/>
    <sheet name="Ratios" sheetId="26" r:id="rId6"/>
    <sheet name="COA" sheetId="24" r:id="rId7"/>
    <sheet name="Breakeven" sheetId="22" r:id="rId8"/>
    <sheet name="BE2" sheetId="12" r:id="rId9"/>
    <sheet name="BE3" sheetId="13" r:id="rId10"/>
    <sheet name="Control" sheetId="8" r:id="rId11"/>
    <sheet name="Para" sheetId="1" r:id="rId12"/>
    <sheet name="Vol" sheetId="2" r:id="rId13"/>
    <sheet name="OH" sheetId="3" r:id="rId14"/>
    <sheet name="Bal" sheetId="5" r:id="rId15"/>
    <sheet name="Inc" sheetId="4" r:id="rId16"/>
    <sheet name="CF" sheetId="6" r:id="rId17"/>
    <sheet name="Print" sheetId="9" r:id="rId18"/>
    <sheet name="ROI" sheetId="14" r:id="rId19"/>
    <sheet name="Payback" sheetId="18" r:id="rId20"/>
    <sheet name="NPV" sheetId="19" r:id="rId21"/>
    <sheet name="Plan" sheetId="23" r:id="rId22"/>
  </sheets>
  <definedNames>
    <definedName name="Discount">Payback!$J$13</definedName>
    <definedName name="Mo">Para!$C$18</definedName>
    <definedName name="Mos">Para!$AH$5:$AH$29</definedName>
    <definedName name="Price">'BE3'!$Q$8</definedName>
    <definedName name="_xlnm.Print_Area" localSheetId="19">Payback!$A$1:$I$37</definedName>
    <definedName name="_xlnm.Print_Area" localSheetId="17">Print!$A$2:$G$111</definedName>
    <definedName name="_xlnm.Print_Titles" localSheetId="4">Cash!$H:$H</definedName>
    <definedName name="_xlnm.Print_Titles" localSheetId="6">COA!$G:$G</definedName>
    <definedName name="_xlnm.Print_Titles" localSheetId="5">Ratios!$H:$H</definedName>
    <definedName name="_xlnm.Print_Titles" localSheetId="3">Statements!$G:$G</definedName>
    <definedName name="Risk">Payback!$J$18</definedName>
    <definedName name="SAPBEXrevision" hidden="1">1</definedName>
    <definedName name="SAPBEXsysID" hidden="1">"BWP"</definedName>
    <definedName name="SAPBEXwbID" hidden="1">"3V0A6S4303X13TNHNF8L4AXTR"</definedName>
    <definedName name="TaxRate">Para!$C$21</definedName>
    <definedName name="Volume">'BE3'!$Q$4</definedName>
    <definedName name="Yr_1">Para!$C$17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S42" i="13" l="1"/>
  <c r="R42" i="13"/>
  <c r="P43" i="13"/>
  <c r="P25" i="13"/>
  <c r="P23" i="13"/>
  <c r="P21" i="13"/>
  <c r="P27" i="13"/>
  <c r="H34" i="13"/>
  <c r="H43" i="13"/>
  <c r="I43" i="13"/>
  <c r="J43" i="13"/>
  <c r="K43" i="13"/>
  <c r="L43" i="13"/>
  <c r="M43" i="13"/>
  <c r="N43" i="13"/>
  <c r="O43" i="13"/>
  <c r="Q43" i="13"/>
  <c r="R43" i="13"/>
  <c r="S43" i="13"/>
  <c r="E43" i="13"/>
  <c r="F43" i="13"/>
  <c r="G43" i="13"/>
  <c r="D43" i="13"/>
  <c r="B16" i="2"/>
  <c r="B17" i="2"/>
  <c r="B18" i="2"/>
  <c r="B19" i="2"/>
  <c r="B20" i="2"/>
  <c r="B21" i="2"/>
  <c r="B22" i="2"/>
  <c r="B23" i="2"/>
  <c r="B24" i="2"/>
  <c r="B25" i="2"/>
  <c r="B27" i="2"/>
  <c r="B4" i="4"/>
  <c r="G6" i="1"/>
  <c r="B30" i="2"/>
  <c r="B31" i="2"/>
  <c r="B32" i="2"/>
  <c r="B33" i="2"/>
  <c r="B34" i="2"/>
  <c r="B35" i="2"/>
  <c r="B36" i="2"/>
  <c r="B37" i="2"/>
  <c r="B38" i="2"/>
  <c r="B39" i="2"/>
  <c r="B41" i="2"/>
  <c r="B6" i="4"/>
  <c r="B44" i="2"/>
  <c r="B45" i="2"/>
  <c r="B46" i="2"/>
  <c r="B47" i="2"/>
  <c r="B48" i="2"/>
  <c r="B49" i="2"/>
  <c r="B50" i="2"/>
  <c r="B51" i="2"/>
  <c r="B52" i="2"/>
  <c r="B53" i="2"/>
  <c r="B55" i="2"/>
  <c r="B7" i="4"/>
  <c r="B58" i="2"/>
  <c r="B59" i="2"/>
  <c r="B60" i="2"/>
  <c r="B61" i="2"/>
  <c r="B62" i="2"/>
  <c r="B63" i="2"/>
  <c r="B64" i="2"/>
  <c r="B65" i="2"/>
  <c r="B66" i="2"/>
  <c r="B67" i="2"/>
  <c r="B69" i="2"/>
  <c r="B8" i="4"/>
  <c r="B9" i="4"/>
  <c r="B11" i="4"/>
  <c r="B12" i="4"/>
  <c r="C25" i="5"/>
  <c r="B18" i="4"/>
  <c r="B21" i="4"/>
  <c r="B23" i="4"/>
  <c r="B26" i="4"/>
  <c r="B28" i="4"/>
  <c r="C4" i="2"/>
  <c r="C16" i="2"/>
  <c r="C17" i="2"/>
  <c r="C18" i="2"/>
  <c r="C19" i="2"/>
  <c r="C20" i="2"/>
  <c r="C21" i="2"/>
  <c r="C22" i="2"/>
  <c r="C23" i="2"/>
  <c r="C24" i="2"/>
  <c r="C25" i="2"/>
  <c r="C27" i="2"/>
  <c r="C4" i="4"/>
  <c r="C30" i="2"/>
  <c r="C31" i="2"/>
  <c r="C32" i="2"/>
  <c r="C33" i="2"/>
  <c r="C34" i="2"/>
  <c r="C35" i="2"/>
  <c r="C36" i="2"/>
  <c r="C37" i="2"/>
  <c r="C38" i="2"/>
  <c r="C39" i="2"/>
  <c r="C41" i="2"/>
  <c r="C6" i="4"/>
  <c r="C44" i="2"/>
  <c r="C45" i="2"/>
  <c r="C46" i="2"/>
  <c r="C47" i="2"/>
  <c r="C48" i="2"/>
  <c r="C49" i="2"/>
  <c r="C50" i="2"/>
  <c r="C51" i="2"/>
  <c r="C52" i="2"/>
  <c r="C53" i="2"/>
  <c r="C55" i="2"/>
  <c r="C7" i="4"/>
  <c r="C58" i="2"/>
  <c r="C59" i="2"/>
  <c r="C60" i="2"/>
  <c r="C61" i="2"/>
  <c r="C62" i="2"/>
  <c r="C63" i="2"/>
  <c r="C64" i="2"/>
  <c r="C65" i="2"/>
  <c r="C66" i="2"/>
  <c r="C67" i="2"/>
  <c r="C69" i="2"/>
  <c r="C8" i="4"/>
  <c r="C9" i="4"/>
  <c r="C11" i="4"/>
  <c r="C12" i="4"/>
  <c r="C18" i="4"/>
  <c r="C21" i="4"/>
  <c r="C23" i="4"/>
  <c r="C26" i="4"/>
  <c r="C28" i="4"/>
  <c r="D4" i="2"/>
  <c r="D16" i="2"/>
  <c r="D17" i="2"/>
  <c r="D18" i="2"/>
  <c r="D19" i="2"/>
  <c r="D20" i="2"/>
  <c r="D21" i="2"/>
  <c r="D22" i="2"/>
  <c r="D23" i="2"/>
  <c r="D24" i="2"/>
  <c r="D25" i="2"/>
  <c r="D27" i="2"/>
  <c r="D4" i="4"/>
  <c r="D30" i="2"/>
  <c r="D31" i="2"/>
  <c r="D32" i="2"/>
  <c r="D33" i="2"/>
  <c r="D34" i="2"/>
  <c r="D35" i="2"/>
  <c r="D36" i="2"/>
  <c r="D37" i="2"/>
  <c r="D38" i="2"/>
  <c r="D39" i="2"/>
  <c r="D41" i="2"/>
  <c r="D6" i="4"/>
  <c r="D44" i="2"/>
  <c r="D45" i="2"/>
  <c r="D46" i="2"/>
  <c r="D47" i="2"/>
  <c r="D48" i="2"/>
  <c r="D49" i="2"/>
  <c r="D50" i="2"/>
  <c r="D51" i="2"/>
  <c r="D52" i="2"/>
  <c r="D53" i="2"/>
  <c r="D55" i="2"/>
  <c r="D7" i="4"/>
  <c r="D58" i="2"/>
  <c r="D59" i="2"/>
  <c r="D60" i="2"/>
  <c r="D61" i="2"/>
  <c r="D62" i="2"/>
  <c r="D63" i="2"/>
  <c r="D64" i="2"/>
  <c r="D65" i="2"/>
  <c r="D66" i="2"/>
  <c r="D67" i="2"/>
  <c r="D69" i="2"/>
  <c r="D8" i="4"/>
  <c r="D9" i="4"/>
  <c r="D11" i="4"/>
  <c r="D12" i="4"/>
  <c r="D18" i="4"/>
  <c r="D21" i="4"/>
  <c r="D23" i="4"/>
  <c r="D26" i="4"/>
  <c r="D28" i="4"/>
  <c r="B40" i="4"/>
  <c r="B4" i="6"/>
  <c r="B5" i="6"/>
  <c r="B32" i="4"/>
  <c r="C6" i="5"/>
  <c r="B7" i="6"/>
  <c r="B34" i="4"/>
  <c r="C7" i="5"/>
  <c r="B8" i="6"/>
  <c r="C12" i="5"/>
  <c r="B10" i="6"/>
  <c r="C20" i="5"/>
  <c r="B12" i="6"/>
  <c r="B15" i="6"/>
  <c r="B21" i="6"/>
  <c r="C191" i="18"/>
  <c r="C192" i="18"/>
  <c r="C194" i="18"/>
  <c r="B195" i="18"/>
  <c r="B194" i="18"/>
  <c r="B196" i="18"/>
  <c r="B191" i="18"/>
  <c r="B192" i="18"/>
  <c r="B190" i="18"/>
  <c r="E4" i="2"/>
  <c r="E16" i="2"/>
  <c r="E17" i="2"/>
  <c r="E18" i="2"/>
  <c r="E19" i="2"/>
  <c r="E20" i="2"/>
  <c r="E21" i="2"/>
  <c r="E22" i="2"/>
  <c r="E23" i="2"/>
  <c r="E24" i="2"/>
  <c r="E25" i="2"/>
  <c r="E27" i="2"/>
  <c r="E4" i="4"/>
  <c r="E30" i="2"/>
  <c r="E31" i="2"/>
  <c r="E32" i="2"/>
  <c r="E33" i="2"/>
  <c r="E34" i="2"/>
  <c r="E35" i="2"/>
  <c r="E36" i="2"/>
  <c r="E37" i="2"/>
  <c r="E38" i="2"/>
  <c r="E39" i="2"/>
  <c r="E41" i="2"/>
  <c r="E6" i="4"/>
  <c r="E44" i="2"/>
  <c r="E45" i="2"/>
  <c r="E46" i="2"/>
  <c r="E47" i="2"/>
  <c r="E48" i="2"/>
  <c r="E49" i="2"/>
  <c r="E50" i="2"/>
  <c r="E51" i="2"/>
  <c r="E52" i="2"/>
  <c r="E53" i="2"/>
  <c r="E55" i="2"/>
  <c r="E7" i="4"/>
  <c r="E58" i="2"/>
  <c r="E59" i="2"/>
  <c r="E60" i="2"/>
  <c r="E61" i="2"/>
  <c r="E62" i="2"/>
  <c r="E63" i="2"/>
  <c r="E64" i="2"/>
  <c r="E65" i="2"/>
  <c r="E66" i="2"/>
  <c r="E67" i="2"/>
  <c r="E69" i="2"/>
  <c r="E8" i="4"/>
  <c r="E9" i="4"/>
  <c r="E11" i="4"/>
  <c r="E12" i="4"/>
  <c r="D25" i="5"/>
  <c r="E18" i="4"/>
  <c r="E21" i="4"/>
  <c r="E23" i="4"/>
  <c r="E26" i="4"/>
  <c r="E28" i="4"/>
  <c r="F4" i="2"/>
  <c r="F16" i="2"/>
  <c r="F17" i="2"/>
  <c r="F18" i="2"/>
  <c r="F19" i="2"/>
  <c r="F20" i="2"/>
  <c r="F21" i="2"/>
  <c r="F22" i="2"/>
  <c r="F23" i="2"/>
  <c r="F24" i="2"/>
  <c r="F25" i="2"/>
  <c r="F27" i="2"/>
  <c r="F4" i="4"/>
  <c r="F30" i="2"/>
  <c r="F31" i="2"/>
  <c r="F32" i="2"/>
  <c r="F33" i="2"/>
  <c r="F34" i="2"/>
  <c r="F35" i="2"/>
  <c r="F36" i="2"/>
  <c r="F37" i="2"/>
  <c r="F38" i="2"/>
  <c r="F39" i="2"/>
  <c r="F41" i="2"/>
  <c r="F6" i="4"/>
  <c r="F44" i="2"/>
  <c r="F45" i="2"/>
  <c r="F46" i="2"/>
  <c r="F47" i="2"/>
  <c r="F48" i="2"/>
  <c r="F49" i="2"/>
  <c r="F50" i="2"/>
  <c r="F51" i="2"/>
  <c r="F52" i="2"/>
  <c r="F53" i="2"/>
  <c r="F55" i="2"/>
  <c r="F7" i="4"/>
  <c r="F58" i="2"/>
  <c r="F59" i="2"/>
  <c r="F60" i="2"/>
  <c r="F61" i="2"/>
  <c r="F62" i="2"/>
  <c r="F63" i="2"/>
  <c r="F64" i="2"/>
  <c r="F65" i="2"/>
  <c r="F66" i="2"/>
  <c r="F67" i="2"/>
  <c r="F69" i="2"/>
  <c r="F8" i="4"/>
  <c r="F9" i="4"/>
  <c r="F11" i="4"/>
  <c r="F12" i="4"/>
  <c r="F18" i="4"/>
  <c r="F21" i="4"/>
  <c r="F23" i="4"/>
  <c r="F26" i="4"/>
  <c r="F28" i="4"/>
  <c r="G4" i="2"/>
  <c r="G16" i="2"/>
  <c r="G17" i="2"/>
  <c r="G18" i="2"/>
  <c r="G19" i="2"/>
  <c r="G20" i="2"/>
  <c r="G21" i="2"/>
  <c r="G22" i="2"/>
  <c r="G23" i="2"/>
  <c r="G24" i="2"/>
  <c r="G25" i="2"/>
  <c r="G27" i="2"/>
  <c r="G4" i="4"/>
  <c r="G30" i="2"/>
  <c r="G31" i="2"/>
  <c r="G32" i="2"/>
  <c r="G33" i="2"/>
  <c r="G34" i="2"/>
  <c r="G35" i="2"/>
  <c r="G36" i="2"/>
  <c r="G37" i="2"/>
  <c r="G38" i="2"/>
  <c r="G39" i="2"/>
  <c r="G41" i="2"/>
  <c r="G6" i="4"/>
  <c r="G44" i="2"/>
  <c r="G45" i="2"/>
  <c r="G46" i="2"/>
  <c r="G47" i="2"/>
  <c r="G48" i="2"/>
  <c r="G49" i="2"/>
  <c r="G50" i="2"/>
  <c r="G51" i="2"/>
  <c r="G52" i="2"/>
  <c r="G53" i="2"/>
  <c r="G55" i="2"/>
  <c r="G7" i="4"/>
  <c r="G58" i="2"/>
  <c r="G59" i="2"/>
  <c r="G60" i="2"/>
  <c r="G61" i="2"/>
  <c r="G62" i="2"/>
  <c r="G63" i="2"/>
  <c r="G64" i="2"/>
  <c r="G65" i="2"/>
  <c r="G66" i="2"/>
  <c r="G67" i="2"/>
  <c r="G69" i="2"/>
  <c r="G8" i="4"/>
  <c r="G9" i="4"/>
  <c r="G11" i="4"/>
  <c r="G12" i="4"/>
  <c r="G18" i="4"/>
  <c r="G21" i="4"/>
  <c r="G23" i="4"/>
  <c r="G26" i="4"/>
  <c r="G28" i="4"/>
  <c r="C40" i="4"/>
  <c r="C4" i="6"/>
  <c r="C5" i="6"/>
  <c r="C32" i="4"/>
  <c r="D6" i="5"/>
  <c r="C7" i="6"/>
  <c r="C34" i="4"/>
  <c r="D7" i="5"/>
  <c r="C8" i="6"/>
  <c r="D12" i="5"/>
  <c r="C10" i="6"/>
  <c r="D20" i="5"/>
  <c r="C12" i="6"/>
  <c r="C15" i="6"/>
  <c r="C21" i="6"/>
  <c r="D191" i="18"/>
  <c r="H4" i="2"/>
  <c r="H16" i="2"/>
  <c r="H17" i="2"/>
  <c r="H18" i="2"/>
  <c r="H19" i="2"/>
  <c r="H20" i="2"/>
  <c r="H21" i="2"/>
  <c r="H22" i="2"/>
  <c r="H23" i="2"/>
  <c r="H24" i="2"/>
  <c r="H25" i="2"/>
  <c r="H27" i="2"/>
  <c r="H4" i="4"/>
  <c r="H30" i="2"/>
  <c r="H31" i="2"/>
  <c r="H32" i="2"/>
  <c r="H33" i="2"/>
  <c r="H34" i="2"/>
  <c r="H35" i="2"/>
  <c r="H36" i="2"/>
  <c r="H37" i="2"/>
  <c r="H38" i="2"/>
  <c r="H39" i="2"/>
  <c r="H41" i="2"/>
  <c r="H6" i="4"/>
  <c r="H44" i="2"/>
  <c r="H45" i="2"/>
  <c r="H46" i="2"/>
  <c r="H47" i="2"/>
  <c r="H48" i="2"/>
  <c r="H49" i="2"/>
  <c r="H50" i="2"/>
  <c r="H51" i="2"/>
  <c r="H52" i="2"/>
  <c r="H53" i="2"/>
  <c r="H55" i="2"/>
  <c r="H7" i="4"/>
  <c r="H58" i="2"/>
  <c r="H59" i="2"/>
  <c r="H60" i="2"/>
  <c r="H61" i="2"/>
  <c r="H62" i="2"/>
  <c r="H63" i="2"/>
  <c r="H64" i="2"/>
  <c r="H65" i="2"/>
  <c r="H66" i="2"/>
  <c r="H67" i="2"/>
  <c r="H69" i="2"/>
  <c r="H8" i="4"/>
  <c r="H9" i="4"/>
  <c r="H11" i="4"/>
  <c r="H12" i="4"/>
  <c r="E25" i="5"/>
  <c r="H18" i="4"/>
  <c r="H21" i="4"/>
  <c r="H23" i="4"/>
  <c r="H26" i="4"/>
  <c r="H28" i="4"/>
  <c r="I4" i="2"/>
  <c r="I16" i="2"/>
  <c r="I17" i="2"/>
  <c r="I18" i="2"/>
  <c r="I19" i="2"/>
  <c r="I20" i="2"/>
  <c r="I21" i="2"/>
  <c r="I22" i="2"/>
  <c r="I23" i="2"/>
  <c r="I24" i="2"/>
  <c r="I25" i="2"/>
  <c r="I27" i="2"/>
  <c r="I4" i="4"/>
  <c r="I30" i="2"/>
  <c r="I31" i="2"/>
  <c r="I32" i="2"/>
  <c r="I33" i="2"/>
  <c r="I34" i="2"/>
  <c r="I35" i="2"/>
  <c r="I36" i="2"/>
  <c r="I37" i="2"/>
  <c r="I38" i="2"/>
  <c r="I39" i="2"/>
  <c r="I41" i="2"/>
  <c r="I6" i="4"/>
  <c r="I44" i="2"/>
  <c r="I45" i="2"/>
  <c r="I46" i="2"/>
  <c r="I47" i="2"/>
  <c r="I48" i="2"/>
  <c r="I49" i="2"/>
  <c r="I50" i="2"/>
  <c r="I51" i="2"/>
  <c r="I52" i="2"/>
  <c r="I53" i="2"/>
  <c r="I55" i="2"/>
  <c r="I7" i="4"/>
  <c r="I58" i="2"/>
  <c r="I59" i="2"/>
  <c r="I60" i="2"/>
  <c r="I61" i="2"/>
  <c r="I62" i="2"/>
  <c r="I63" i="2"/>
  <c r="I64" i="2"/>
  <c r="I65" i="2"/>
  <c r="I66" i="2"/>
  <c r="I67" i="2"/>
  <c r="I69" i="2"/>
  <c r="I8" i="4"/>
  <c r="I9" i="4"/>
  <c r="I11" i="4"/>
  <c r="I12" i="4"/>
  <c r="I18" i="4"/>
  <c r="I21" i="4"/>
  <c r="I23" i="4"/>
  <c r="I26" i="4"/>
  <c r="I28" i="4"/>
  <c r="J4" i="2"/>
  <c r="J16" i="2"/>
  <c r="J17" i="2"/>
  <c r="J18" i="2"/>
  <c r="J19" i="2"/>
  <c r="J20" i="2"/>
  <c r="J21" i="2"/>
  <c r="J22" i="2"/>
  <c r="J23" i="2"/>
  <c r="J24" i="2"/>
  <c r="J25" i="2"/>
  <c r="J27" i="2"/>
  <c r="J4" i="4"/>
  <c r="J30" i="2"/>
  <c r="J31" i="2"/>
  <c r="J32" i="2"/>
  <c r="J33" i="2"/>
  <c r="J34" i="2"/>
  <c r="J35" i="2"/>
  <c r="J36" i="2"/>
  <c r="J37" i="2"/>
  <c r="J38" i="2"/>
  <c r="J39" i="2"/>
  <c r="J41" i="2"/>
  <c r="J6" i="4"/>
  <c r="J44" i="2"/>
  <c r="J45" i="2"/>
  <c r="J46" i="2"/>
  <c r="J47" i="2"/>
  <c r="J48" i="2"/>
  <c r="J49" i="2"/>
  <c r="J50" i="2"/>
  <c r="J51" i="2"/>
  <c r="J52" i="2"/>
  <c r="J53" i="2"/>
  <c r="J55" i="2"/>
  <c r="J7" i="4"/>
  <c r="J58" i="2"/>
  <c r="J59" i="2"/>
  <c r="J60" i="2"/>
  <c r="J61" i="2"/>
  <c r="J62" i="2"/>
  <c r="J63" i="2"/>
  <c r="J64" i="2"/>
  <c r="J65" i="2"/>
  <c r="J66" i="2"/>
  <c r="J67" i="2"/>
  <c r="J69" i="2"/>
  <c r="J8" i="4"/>
  <c r="J9" i="4"/>
  <c r="J11" i="4"/>
  <c r="J12" i="4"/>
  <c r="J18" i="4"/>
  <c r="J21" i="4"/>
  <c r="J23" i="4"/>
  <c r="J26" i="4"/>
  <c r="J28" i="4"/>
  <c r="D40" i="4"/>
  <c r="D4" i="6"/>
  <c r="D5" i="6"/>
  <c r="D32" i="4"/>
  <c r="E6" i="5"/>
  <c r="D7" i="6"/>
  <c r="D34" i="4"/>
  <c r="E7" i="5"/>
  <c r="D8" i="6"/>
  <c r="E12" i="5"/>
  <c r="D10" i="6"/>
  <c r="E20" i="5"/>
  <c r="D12" i="6"/>
  <c r="D15" i="6"/>
  <c r="D21" i="6"/>
  <c r="E191" i="18"/>
  <c r="K4" i="2"/>
  <c r="K16" i="2"/>
  <c r="K17" i="2"/>
  <c r="K18" i="2"/>
  <c r="K19" i="2"/>
  <c r="K20" i="2"/>
  <c r="K21" i="2"/>
  <c r="K22" i="2"/>
  <c r="K23" i="2"/>
  <c r="K24" i="2"/>
  <c r="K25" i="2"/>
  <c r="K27" i="2"/>
  <c r="K4" i="4"/>
  <c r="K30" i="2"/>
  <c r="K31" i="2"/>
  <c r="K32" i="2"/>
  <c r="K33" i="2"/>
  <c r="K34" i="2"/>
  <c r="K35" i="2"/>
  <c r="K36" i="2"/>
  <c r="K37" i="2"/>
  <c r="K38" i="2"/>
  <c r="K39" i="2"/>
  <c r="K41" i="2"/>
  <c r="K6" i="4"/>
  <c r="K44" i="2"/>
  <c r="K45" i="2"/>
  <c r="K46" i="2"/>
  <c r="K47" i="2"/>
  <c r="K48" i="2"/>
  <c r="K49" i="2"/>
  <c r="K50" i="2"/>
  <c r="K51" i="2"/>
  <c r="K52" i="2"/>
  <c r="K53" i="2"/>
  <c r="K55" i="2"/>
  <c r="K7" i="4"/>
  <c r="K58" i="2"/>
  <c r="K59" i="2"/>
  <c r="K60" i="2"/>
  <c r="K61" i="2"/>
  <c r="K62" i="2"/>
  <c r="K63" i="2"/>
  <c r="K64" i="2"/>
  <c r="K65" i="2"/>
  <c r="K66" i="2"/>
  <c r="K67" i="2"/>
  <c r="K69" i="2"/>
  <c r="K8" i="4"/>
  <c r="K9" i="4"/>
  <c r="K11" i="4"/>
  <c r="K12" i="4"/>
  <c r="F25" i="5"/>
  <c r="K18" i="4"/>
  <c r="K21" i="4"/>
  <c r="K23" i="4"/>
  <c r="K26" i="4"/>
  <c r="K28" i="4"/>
  <c r="L4" i="2"/>
  <c r="L16" i="2"/>
  <c r="L17" i="2"/>
  <c r="L18" i="2"/>
  <c r="L19" i="2"/>
  <c r="L20" i="2"/>
  <c r="L21" i="2"/>
  <c r="L22" i="2"/>
  <c r="L23" i="2"/>
  <c r="L24" i="2"/>
  <c r="L25" i="2"/>
  <c r="L27" i="2"/>
  <c r="L4" i="4"/>
  <c r="L30" i="2"/>
  <c r="L31" i="2"/>
  <c r="L32" i="2"/>
  <c r="L33" i="2"/>
  <c r="L34" i="2"/>
  <c r="L35" i="2"/>
  <c r="L36" i="2"/>
  <c r="L37" i="2"/>
  <c r="L38" i="2"/>
  <c r="L39" i="2"/>
  <c r="L41" i="2"/>
  <c r="L6" i="4"/>
  <c r="L44" i="2"/>
  <c r="L45" i="2"/>
  <c r="L46" i="2"/>
  <c r="L47" i="2"/>
  <c r="L48" i="2"/>
  <c r="L49" i="2"/>
  <c r="L50" i="2"/>
  <c r="L51" i="2"/>
  <c r="L52" i="2"/>
  <c r="L53" i="2"/>
  <c r="L55" i="2"/>
  <c r="L7" i="4"/>
  <c r="L58" i="2"/>
  <c r="L59" i="2"/>
  <c r="L60" i="2"/>
  <c r="L61" i="2"/>
  <c r="L62" i="2"/>
  <c r="L63" i="2"/>
  <c r="L64" i="2"/>
  <c r="L65" i="2"/>
  <c r="L66" i="2"/>
  <c r="L67" i="2"/>
  <c r="L69" i="2"/>
  <c r="L8" i="4"/>
  <c r="L9" i="4"/>
  <c r="L11" i="4"/>
  <c r="L12" i="4"/>
  <c r="L18" i="4"/>
  <c r="L21" i="4"/>
  <c r="L23" i="4"/>
  <c r="L26" i="4"/>
  <c r="L28" i="4"/>
  <c r="M4" i="2"/>
  <c r="M16" i="2"/>
  <c r="M17" i="2"/>
  <c r="M18" i="2"/>
  <c r="M19" i="2"/>
  <c r="M20" i="2"/>
  <c r="M21" i="2"/>
  <c r="M22" i="2"/>
  <c r="M23" i="2"/>
  <c r="M24" i="2"/>
  <c r="M25" i="2"/>
  <c r="M27" i="2"/>
  <c r="M4" i="4"/>
  <c r="M30" i="2"/>
  <c r="M31" i="2"/>
  <c r="M32" i="2"/>
  <c r="M33" i="2"/>
  <c r="M34" i="2"/>
  <c r="M35" i="2"/>
  <c r="M36" i="2"/>
  <c r="M37" i="2"/>
  <c r="M38" i="2"/>
  <c r="M39" i="2"/>
  <c r="M41" i="2"/>
  <c r="M6" i="4"/>
  <c r="M44" i="2"/>
  <c r="M45" i="2"/>
  <c r="M46" i="2"/>
  <c r="M47" i="2"/>
  <c r="M48" i="2"/>
  <c r="M49" i="2"/>
  <c r="M50" i="2"/>
  <c r="M51" i="2"/>
  <c r="M52" i="2"/>
  <c r="M53" i="2"/>
  <c r="M55" i="2"/>
  <c r="M7" i="4"/>
  <c r="M58" i="2"/>
  <c r="M59" i="2"/>
  <c r="M60" i="2"/>
  <c r="M61" i="2"/>
  <c r="M62" i="2"/>
  <c r="M63" i="2"/>
  <c r="M64" i="2"/>
  <c r="M65" i="2"/>
  <c r="M66" i="2"/>
  <c r="M67" i="2"/>
  <c r="M69" i="2"/>
  <c r="M8" i="4"/>
  <c r="M9" i="4"/>
  <c r="M11" i="4"/>
  <c r="M12" i="4"/>
  <c r="M18" i="4"/>
  <c r="M21" i="4"/>
  <c r="M23" i="4"/>
  <c r="M26" i="4"/>
  <c r="M28" i="4"/>
  <c r="E40" i="4"/>
  <c r="E4" i="6"/>
  <c r="E5" i="6"/>
  <c r="E32" i="4"/>
  <c r="F6" i="5"/>
  <c r="E7" i="6"/>
  <c r="E34" i="4"/>
  <c r="F7" i="5"/>
  <c r="E8" i="6"/>
  <c r="F12" i="5"/>
  <c r="E10" i="6"/>
  <c r="F20" i="5"/>
  <c r="E12" i="6"/>
  <c r="E15" i="6"/>
  <c r="E21" i="6"/>
  <c r="F191" i="18"/>
  <c r="N4" i="2"/>
  <c r="N16" i="2"/>
  <c r="N17" i="2"/>
  <c r="N18" i="2"/>
  <c r="N19" i="2"/>
  <c r="N20" i="2"/>
  <c r="N21" i="2"/>
  <c r="N22" i="2"/>
  <c r="N23" i="2"/>
  <c r="N24" i="2"/>
  <c r="N25" i="2"/>
  <c r="N27" i="2"/>
  <c r="N4" i="4"/>
  <c r="N30" i="2"/>
  <c r="N31" i="2"/>
  <c r="N32" i="2"/>
  <c r="N33" i="2"/>
  <c r="N34" i="2"/>
  <c r="N35" i="2"/>
  <c r="N36" i="2"/>
  <c r="N37" i="2"/>
  <c r="N38" i="2"/>
  <c r="N39" i="2"/>
  <c r="N41" i="2"/>
  <c r="N6" i="4"/>
  <c r="N44" i="2"/>
  <c r="N45" i="2"/>
  <c r="N46" i="2"/>
  <c r="N47" i="2"/>
  <c r="N48" i="2"/>
  <c r="N49" i="2"/>
  <c r="N50" i="2"/>
  <c r="N51" i="2"/>
  <c r="N52" i="2"/>
  <c r="N53" i="2"/>
  <c r="N55" i="2"/>
  <c r="N7" i="4"/>
  <c r="N58" i="2"/>
  <c r="N59" i="2"/>
  <c r="N60" i="2"/>
  <c r="N61" i="2"/>
  <c r="N62" i="2"/>
  <c r="N63" i="2"/>
  <c r="N64" i="2"/>
  <c r="N65" i="2"/>
  <c r="N66" i="2"/>
  <c r="N67" i="2"/>
  <c r="N69" i="2"/>
  <c r="N8" i="4"/>
  <c r="N9" i="4"/>
  <c r="N11" i="4"/>
  <c r="N12" i="4"/>
  <c r="G25" i="5"/>
  <c r="N18" i="4"/>
  <c r="N21" i="4"/>
  <c r="N23" i="4"/>
  <c r="N26" i="4"/>
  <c r="N28" i="4"/>
  <c r="O4" i="2"/>
  <c r="O16" i="2"/>
  <c r="O17" i="2"/>
  <c r="O18" i="2"/>
  <c r="O19" i="2"/>
  <c r="O20" i="2"/>
  <c r="O21" i="2"/>
  <c r="O22" i="2"/>
  <c r="O23" i="2"/>
  <c r="O24" i="2"/>
  <c r="O25" i="2"/>
  <c r="O27" i="2"/>
  <c r="O4" i="4"/>
  <c r="O30" i="2"/>
  <c r="O31" i="2"/>
  <c r="O32" i="2"/>
  <c r="O33" i="2"/>
  <c r="O34" i="2"/>
  <c r="O35" i="2"/>
  <c r="O36" i="2"/>
  <c r="O37" i="2"/>
  <c r="O38" i="2"/>
  <c r="O39" i="2"/>
  <c r="O41" i="2"/>
  <c r="O6" i="4"/>
  <c r="O44" i="2"/>
  <c r="O45" i="2"/>
  <c r="O46" i="2"/>
  <c r="O47" i="2"/>
  <c r="O48" i="2"/>
  <c r="O49" i="2"/>
  <c r="O50" i="2"/>
  <c r="O51" i="2"/>
  <c r="O52" i="2"/>
  <c r="O53" i="2"/>
  <c r="O55" i="2"/>
  <c r="O7" i="4"/>
  <c r="O58" i="2"/>
  <c r="O59" i="2"/>
  <c r="O60" i="2"/>
  <c r="O61" i="2"/>
  <c r="O62" i="2"/>
  <c r="O63" i="2"/>
  <c r="O64" i="2"/>
  <c r="O65" i="2"/>
  <c r="O66" i="2"/>
  <c r="O67" i="2"/>
  <c r="O69" i="2"/>
  <c r="O8" i="4"/>
  <c r="O9" i="4"/>
  <c r="O11" i="4"/>
  <c r="O12" i="4"/>
  <c r="O18" i="4"/>
  <c r="O21" i="4"/>
  <c r="O23" i="4"/>
  <c r="O26" i="4"/>
  <c r="O28" i="4"/>
  <c r="P4" i="2"/>
  <c r="P16" i="2"/>
  <c r="P17" i="2"/>
  <c r="P18" i="2"/>
  <c r="P19" i="2"/>
  <c r="P20" i="2"/>
  <c r="P21" i="2"/>
  <c r="P22" i="2"/>
  <c r="P23" i="2"/>
  <c r="P24" i="2"/>
  <c r="P25" i="2"/>
  <c r="P27" i="2"/>
  <c r="P4" i="4"/>
  <c r="P30" i="2"/>
  <c r="P31" i="2"/>
  <c r="P32" i="2"/>
  <c r="P33" i="2"/>
  <c r="P34" i="2"/>
  <c r="P35" i="2"/>
  <c r="P36" i="2"/>
  <c r="P37" i="2"/>
  <c r="P38" i="2"/>
  <c r="P39" i="2"/>
  <c r="P41" i="2"/>
  <c r="P6" i="4"/>
  <c r="P44" i="2"/>
  <c r="P45" i="2"/>
  <c r="P46" i="2"/>
  <c r="P47" i="2"/>
  <c r="P48" i="2"/>
  <c r="P49" i="2"/>
  <c r="P50" i="2"/>
  <c r="P51" i="2"/>
  <c r="P52" i="2"/>
  <c r="P53" i="2"/>
  <c r="P55" i="2"/>
  <c r="P7" i="4"/>
  <c r="P58" i="2"/>
  <c r="P59" i="2"/>
  <c r="P60" i="2"/>
  <c r="P61" i="2"/>
  <c r="P62" i="2"/>
  <c r="P63" i="2"/>
  <c r="P64" i="2"/>
  <c r="P65" i="2"/>
  <c r="P66" i="2"/>
  <c r="P67" i="2"/>
  <c r="P69" i="2"/>
  <c r="P8" i="4"/>
  <c r="P9" i="4"/>
  <c r="P11" i="4"/>
  <c r="P12" i="4"/>
  <c r="P18" i="4"/>
  <c r="P21" i="4"/>
  <c r="P23" i="4"/>
  <c r="P26" i="4"/>
  <c r="P28" i="4"/>
  <c r="F40" i="4"/>
  <c r="F4" i="6"/>
  <c r="F5" i="6"/>
  <c r="F32" i="4"/>
  <c r="G6" i="5"/>
  <c r="F7" i="6"/>
  <c r="F34" i="4"/>
  <c r="G7" i="5"/>
  <c r="F8" i="6"/>
  <c r="G12" i="5"/>
  <c r="F10" i="6"/>
  <c r="G20" i="5"/>
  <c r="F12" i="6"/>
  <c r="F15" i="6"/>
  <c r="F21" i="6"/>
  <c r="G191" i="18"/>
  <c r="Q4" i="2"/>
  <c r="Q16" i="2"/>
  <c r="Q17" i="2"/>
  <c r="Q18" i="2"/>
  <c r="Q19" i="2"/>
  <c r="Q20" i="2"/>
  <c r="Q21" i="2"/>
  <c r="Q22" i="2"/>
  <c r="Q23" i="2"/>
  <c r="Q24" i="2"/>
  <c r="Q25" i="2"/>
  <c r="Q27" i="2"/>
  <c r="Q4" i="4"/>
  <c r="Q30" i="2"/>
  <c r="Q31" i="2"/>
  <c r="Q32" i="2"/>
  <c r="Q33" i="2"/>
  <c r="Q34" i="2"/>
  <c r="Q35" i="2"/>
  <c r="Q36" i="2"/>
  <c r="Q37" i="2"/>
  <c r="Q38" i="2"/>
  <c r="Q39" i="2"/>
  <c r="Q41" i="2"/>
  <c r="Q6" i="4"/>
  <c r="Q44" i="2"/>
  <c r="Q45" i="2"/>
  <c r="Q46" i="2"/>
  <c r="Q47" i="2"/>
  <c r="Q48" i="2"/>
  <c r="Q49" i="2"/>
  <c r="Q50" i="2"/>
  <c r="Q51" i="2"/>
  <c r="Q52" i="2"/>
  <c r="Q53" i="2"/>
  <c r="Q55" i="2"/>
  <c r="Q7" i="4"/>
  <c r="Q58" i="2"/>
  <c r="Q59" i="2"/>
  <c r="Q60" i="2"/>
  <c r="Q61" i="2"/>
  <c r="Q62" i="2"/>
  <c r="Q63" i="2"/>
  <c r="Q64" i="2"/>
  <c r="Q65" i="2"/>
  <c r="Q66" i="2"/>
  <c r="Q67" i="2"/>
  <c r="Q69" i="2"/>
  <c r="Q8" i="4"/>
  <c r="Q9" i="4"/>
  <c r="Q11" i="4"/>
  <c r="Q12" i="4"/>
  <c r="H25" i="5"/>
  <c r="Q18" i="4"/>
  <c r="Q21" i="4"/>
  <c r="Q23" i="4"/>
  <c r="Q26" i="4"/>
  <c r="Q28" i="4"/>
  <c r="R4" i="2"/>
  <c r="R16" i="2"/>
  <c r="R17" i="2"/>
  <c r="R18" i="2"/>
  <c r="R19" i="2"/>
  <c r="R20" i="2"/>
  <c r="R21" i="2"/>
  <c r="R22" i="2"/>
  <c r="R23" i="2"/>
  <c r="R24" i="2"/>
  <c r="R25" i="2"/>
  <c r="R27" i="2"/>
  <c r="R4" i="4"/>
  <c r="R30" i="2"/>
  <c r="R31" i="2"/>
  <c r="R32" i="2"/>
  <c r="R33" i="2"/>
  <c r="R34" i="2"/>
  <c r="R35" i="2"/>
  <c r="R36" i="2"/>
  <c r="R37" i="2"/>
  <c r="R38" i="2"/>
  <c r="R39" i="2"/>
  <c r="R41" i="2"/>
  <c r="R6" i="4"/>
  <c r="R44" i="2"/>
  <c r="R45" i="2"/>
  <c r="R46" i="2"/>
  <c r="R47" i="2"/>
  <c r="R48" i="2"/>
  <c r="R49" i="2"/>
  <c r="R50" i="2"/>
  <c r="R51" i="2"/>
  <c r="R52" i="2"/>
  <c r="R53" i="2"/>
  <c r="R55" i="2"/>
  <c r="R7" i="4"/>
  <c r="R58" i="2"/>
  <c r="R59" i="2"/>
  <c r="R60" i="2"/>
  <c r="R61" i="2"/>
  <c r="R62" i="2"/>
  <c r="R63" i="2"/>
  <c r="R64" i="2"/>
  <c r="R65" i="2"/>
  <c r="R66" i="2"/>
  <c r="R67" i="2"/>
  <c r="R69" i="2"/>
  <c r="R8" i="4"/>
  <c r="R9" i="4"/>
  <c r="R11" i="4"/>
  <c r="R12" i="4"/>
  <c r="R18" i="4"/>
  <c r="R21" i="4"/>
  <c r="R23" i="4"/>
  <c r="R26" i="4"/>
  <c r="R28" i="4"/>
  <c r="S4" i="2"/>
  <c r="S16" i="2"/>
  <c r="S17" i="2"/>
  <c r="S18" i="2"/>
  <c r="S19" i="2"/>
  <c r="S20" i="2"/>
  <c r="S21" i="2"/>
  <c r="S22" i="2"/>
  <c r="S23" i="2"/>
  <c r="S24" i="2"/>
  <c r="S25" i="2"/>
  <c r="S27" i="2"/>
  <c r="S4" i="4"/>
  <c r="S30" i="2"/>
  <c r="S31" i="2"/>
  <c r="S32" i="2"/>
  <c r="S33" i="2"/>
  <c r="S34" i="2"/>
  <c r="S35" i="2"/>
  <c r="S36" i="2"/>
  <c r="S37" i="2"/>
  <c r="S38" i="2"/>
  <c r="S39" i="2"/>
  <c r="S41" i="2"/>
  <c r="S6" i="4"/>
  <c r="S44" i="2"/>
  <c r="S45" i="2"/>
  <c r="S46" i="2"/>
  <c r="S47" i="2"/>
  <c r="S48" i="2"/>
  <c r="S49" i="2"/>
  <c r="S50" i="2"/>
  <c r="S51" i="2"/>
  <c r="S52" i="2"/>
  <c r="S53" i="2"/>
  <c r="S55" i="2"/>
  <c r="S7" i="4"/>
  <c r="S58" i="2"/>
  <c r="S59" i="2"/>
  <c r="S60" i="2"/>
  <c r="S61" i="2"/>
  <c r="S62" i="2"/>
  <c r="S63" i="2"/>
  <c r="S64" i="2"/>
  <c r="S65" i="2"/>
  <c r="S66" i="2"/>
  <c r="S67" i="2"/>
  <c r="S69" i="2"/>
  <c r="S8" i="4"/>
  <c r="S9" i="4"/>
  <c r="S11" i="4"/>
  <c r="S12" i="4"/>
  <c r="S18" i="4"/>
  <c r="S21" i="4"/>
  <c r="S23" i="4"/>
  <c r="S26" i="4"/>
  <c r="S28" i="4"/>
  <c r="G40" i="4"/>
  <c r="G4" i="6"/>
  <c r="G5" i="6"/>
  <c r="G32" i="4"/>
  <c r="H6" i="5"/>
  <c r="G7" i="6"/>
  <c r="G34" i="4"/>
  <c r="H7" i="5"/>
  <c r="G8" i="6"/>
  <c r="H12" i="5"/>
  <c r="G10" i="6"/>
  <c r="H20" i="5"/>
  <c r="G12" i="6"/>
  <c r="G15" i="6"/>
  <c r="G21" i="6"/>
  <c r="H191" i="18"/>
  <c r="T4" i="2"/>
  <c r="T16" i="2"/>
  <c r="T17" i="2"/>
  <c r="T18" i="2"/>
  <c r="T19" i="2"/>
  <c r="T20" i="2"/>
  <c r="T21" i="2"/>
  <c r="T22" i="2"/>
  <c r="T23" i="2"/>
  <c r="T24" i="2"/>
  <c r="T25" i="2"/>
  <c r="T27" i="2"/>
  <c r="T4" i="4"/>
  <c r="T30" i="2"/>
  <c r="T31" i="2"/>
  <c r="T32" i="2"/>
  <c r="T33" i="2"/>
  <c r="T34" i="2"/>
  <c r="T35" i="2"/>
  <c r="T36" i="2"/>
  <c r="T37" i="2"/>
  <c r="T38" i="2"/>
  <c r="T39" i="2"/>
  <c r="T41" i="2"/>
  <c r="T6" i="4"/>
  <c r="T44" i="2"/>
  <c r="T45" i="2"/>
  <c r="T46" i="2"/>
  <c r="T47" i="2"/>
  <c r="T48" i="2"/>
  <c r="T49" i="2"/>
  <c r="T50" i="2"/>
  <c r="T51" i="2"/>
  <c r="T52" i="2"/>
  <c r="T53" i="2"/>
  <c r="T55" i="2"/>
  <c r="T7" i="4"/>
  <c r="T58" i="2"/>
  <c r="T59" i="2"/>
  <c r="T60" i="2"/>
  <c r="T61" i="2"/>
  <c r="T62" i="2"/>
  <c r="T63" i="2"/>
  <c r="T64" i="2"/>
  <c r="T65" i="2"/>
  <c r="T66" i="2"/>
  <c r="T67" i="2"/>
  <c r="T69" i="2"/>
  <c r="T8" i="4"/>
  <c r="T9" i="4"/>
  <c r="T11" i="4"/>
  <c r="T12" i="4"/>
  <c r="I25" i="5"/>
  <c r="T18" i="4"/>
  <c r="T21" i="4"/>
  <c r="T23" i="4"/>
  <c r="T26" i="4"/>
  <c r="T28" i="4"/>
  <c r="U4" i="2"/>
  <c r="U16" i="2"/>
  <c r="U17" i="2"/>
  <c r="U18" i="2"/>
  <c r="U19" i="2"/>
  <c r="U20" i="2"/>
  <c r="U21" i="2"/>
  <c r="U22" i="2"/>
  <c r="U23" i="2"/>
  <c r="U24" i="2"/>
  <c r="U25" i="2"/>
  <c r="U27" i="2"/>
  <c r="U4" i="4"/>
  <c r="U30" i="2"/>
  <c r="U31" i="2"/>
  <c r="U32" i="2"/>
  <c r="U33" i="2"/>
  <c r="U34" i="2"/>
  <c r="U35" i="2"/>
  <c r="U36" i="2"/>
  <c r="U37" i="2"/>
  <c r="U38" i="2"/>
  <c r="U39" i="2"/>
  <c r="U41" i="2"/>
  <c r="U6" i="4"/>
  <c r="U44" i="2"/>
  <c r="U45" i="2"/>
  <c r="U46" i="2"/>
  <c r="U47" i="2"/>
  <c r="U48" i="2"/>
  <c r="U49" i="2"/>
  <c r="U50" i="2"/>
  <c r="U51" i="2"/>
  <c r="U52" i="2"/>
  <c r="U53" i="2"/>
  <c r="U55" i="2"/>
  <c r="U7" i="4"/>
  <c r="U58" i="2"/>
  <c r="U59" i="2"/>
  <c r="U60" i="2"/>
  <c r="U61" i="2"/>
  <c r="U62" i="2"/>
  <c r="U63" i="2"/>
  <c r="U64" i="2"/>
  <c r="U65" i="2"/>
  <c r="U66" i="2"/>
  <c r="U67" i="2"/>
  <c r="U69" i="2"/>
  <c r="U8" i="4"/>
  <c r="U9" i="4"/>
  <c r="U11" i="4"/>
  <c r="U12" i="4"/>
  <c r="U18" i="4"/>
  <c r="U21" i="4"/>
  <c r="U23" i="4"/>
  <c r="U26" i="4"/>
  <c r="U28" i="4"/>
  <c r="V4" i="2"/>
  <c r="V16" i="2"/>
  <c r="V17" i="2"/>
  <c r="V18" i="2"/>
  <c r="V19" i="2"/>
  <c r="V20" i="2"/>
  <c r="V21" i="2"/>
  <c r="V22" i="2"/>
  <c r="V23" i="2"/>
  <c r="V24" i="2"/>
  <c r="V25" i="2"/>
  <c r="V27" i="2"/>
  <c r="V4" i="4"/>
  <c r="V30" i="2"/>
  <c r="V31" i="2"/>
  <c r="V32" i="2"/>
  <c r="V33" i="2"/>
  <c r="V34" i="2"/>
  <c r="V35" i="2"/>
  <c r="V36" i="2"/>
  <c r="V37" i="2"/>
  <c r="V38" i="2"/>
  <c r="V39" i="2"/>
  <c r="V41" i="2"/>
  <c r="V6" i="4"/>
  <c r="V44" i="2"/>
  <c r="V45" i="2"/>
  <c r="V46" i="2"/>
  <c r="V47" i="2"/>
  <c r="V48" i="2"/>
  <c r="V49" i="2"/>
  <c r="V50" i="2"/>
  <c r="V51" i="2"/>
  <c r="V52" i="2"/>
  <c r="V53" i="2"/>
  <c r="V55" i="2"/>
  <c r="V7" i="4"/>
  <c r="V58" i="2"/>
  <c r="V59" i="2"/>
  <c r="V60" i="2"/>
  <c r="V61" i="2"/>
  <c r="V62" i="2"/>
  <c r="V63" i="2"/>
  <c r="V64" i="2"/>
  <c r="V65" i="2"/>
  <c r="V66" i="2"/>
  <c r="V67" i="2"/>
  <c r="V69" i="2"/>
  <c r="V8" i="4"/>
  <c r="V9" i="4"/>
  <c r="V11" i="4"/>
  <c r="V12" i="4"/>
  <c r="V18" i="4"/>
  <c r="V21" i="4"/>
  <c r="V23" i="4"/>
  <c r="V26" i="4"/>
  <c r="V28" i="4"/>
  <c r="H40" i="4"/>
  <c r="H4" i="6"/>
  <c r="H5" i="6"/>
  <c r="H32" i="4"/>
  <c r="I6" i="5"/>
  <c r="H7" i="6"/>
  <c r="H34" i="4"/>
  <c r="I7" i="5"/>
  <c r="H8" i="6"/>
  <c r="I12" i="5"/>
  <c r="H10" i="6"/>
  <c r="I20" i="5"/>
  <c r="H12" i="6"/>
  <c r="H15" i="6"/>
  <c r="H21" i="6"/>
  <c r="I191" i="18"/>
  <c r="W4" i="2"/>
  <c r="W16" i="2"/>
  <c r="W17" i="2"/>
  <c r="W18" i="2"/>
  <c r="W19" i="2"/>
  <c r="W20" i="2"/>
  <c r="W21" i="2"/>
  <c r="W22" i="2"/>
  <c r="W23" i="2"/>
  <c r="W24" i="2"/>
  <c r="W25" i="2"/>
  <c r="W27" i="2"/>
  <c r="W4" i="4"/>
  <c r="W30" i="2"/>
  <c r="W31" i="2"/>
  <c r="W32" i="2"/>
  <c r="W33" i="2"/>
  <c r="W34" i="2"/>
  <c r="W35" i="2"/>
  <c r="W36" i="2"/>
  <c r="W37" i="2"/>
  <c r="W38" i="2"/>
  <c r="W39" i="2"/>
  <c r="W41" i="2"/>
  <c r="W6" i="4"/>
  <c r="W44" i="2"/>
  <c r="W45" i="2"/>
  <c r="W46" i="2"/>
  <c r="W47" i="2"/>
  <c r="W48" i="2"/>
  <c r="W49" i="2"/>
  <c r="W50" i="2"/>
  <c r="W51" i="2"/>
  <c r="W52" i="2"/>
  <c r="W53" i="2"/>
  <c r="W55" i="2"/>
  <c r="W7" i="4"/>
  <c r="W58" i="2"/>
  <c r="W59" i="2"/>
  <c r="W60" i="2"/>
  <c r="W61" i="2"/>
  <c r="W62" i="2"/>
  <c r="W63" i="2"/>
  <c r="W64" i="2"/>
  <c r="W65" i="2"/>
  <c r="W66" i="2"/>
  <c r="W67" i="2"/>
  <c r="W69" i="2"/>
  <c r="W8" i="4"/>
  <c r="W9" i="4"/>
  <c r="W11" i="4"/>
  <c r="W12" i="4"/>
  <c r="J25" i="5"/>
  <c r="W18" i="4"/>
  <c r="W21" i="4"/>
  <c r="W23" i="4"/>
  <c r="W26" i="4"/>
  <c r="W28" i="4"/>
  <c r="X4" i="2"/>
  <c r="X16" i="2"/>
  <c r="X17" i="2"/>
  <c r="X18" i="2"/>
  <c r="X19" i="2"/>
  <c r="X20" i="2"/>
  <c r="X21" i="2"/>
  <c r="X22" i="2"/>
  <c r="X23" i="2"/>
  <c r="X24" i="2"/>
  <c r="X25" i="2"/>
  <c r="X27" i="2"/>
  <c r="X4" i="4"/>
  <c r="X30" i="2"/>
  <c r="X31" i="2"/>
  <c r="X32" i="2"/>
  <c r="X33" i="2"/>
  <c r="X34" i="2"/>
  <c r="X35" i="2"/>
  <c r="X36" i="2"/>
  <c r="X37" i="2"/>
  <c r="X38" i="2"/>
  <c r="X39" i="2"/>
  <c r="X41" i="2"/>
  <c r="X6" i="4"/>
  <c r="X44" i="2"/>
  <c r="X45" i="2"/>
  <c r="X46" i="2"/>
  <c r="X47" i="2"/>
  <c r="X48" i="2"/>
  <c r="X49" i="2"/>
  <c r="X50" i="2"/>
  <c r="X51" i="2"/>
  <c r="X52" i="2"/>
  <c r="X53" i="2"/>
  <c r="X55" i="2"/>
  <c r="X7" i="4"/>
  <c r="X58" i="2"/>
  <c r="X59" i="2"/>
  <c r="X60" i="2"/>
  <c r="X61" i="2"/>
  <c r="X62" i="2"/>
  <c r="X63" i="2"/>
  <c r="X64" i="2"/>
  <c r="X65" i="2"/>
  <c r="X66" i="2"/>
  <c r="X67" i="2"/>
  <c r="X69" i="2"/>
  <c r="X8" i="4"/>
  <c r="X9" i="4"/>
  <c r="X11" i="4"/>
  <c r="X12" i="4"/>
  <c r="X18" i="4"/>
  <c r="X21" i="4"/>
  <c r="X23" i="4"/>
  <c r="X26" i="4"/>
  <c r="X28" i="4"/>
  <c r="Y4" i="2"/>
  <c r="Y16" i="2"/>
  <c r="Y17" i="2"/>
  <c r="Y18" i="2"/>
  <c r="Y19" i="2"/>
  <c r="Y20" i="2"/>
  <c r="Y21" i="2"/>
  <c r="Y22" i="2"/>
  <c r="Y23" i="2"/>
  <c r="Y24" i="2"/>
  <c r="Y25" i="2"/>
  <c r="Y27" i="2"/>
  <c r="Y4" i="4"/>
  <c r="Y30" i="2"/>
  <c r="Y31" i="2"/>
  <c r="Y32" i="2"/>
  <c r="Y33" i="2"/>
  <c r="Y34" i="2"/>
  <c r="Y35" i="2"/>
  <c r="Y36" i="2"/>
  <c r="Y37" i="2"/>
  <c r="Y38" i="2"/>
  <c r="Y39" i="2"/>
  <c r="Y41" i="2"/>
  <c r="Y6" i="4"/>
  <c r="Y44" i="2"/>
  <c r="Y45" i="2"/>
  <c r="Y46" i="2"/>
  <c r="Y47" i="2"/>
  <c r="Y48" i="2"/>
  <c r="Y49" i="2"/>
  <c r="Y50" i="2"/>
  <c r="Y51" i="2"/>
  <c r="Y52" i="2"/>
  <c r="Y53" i="2"/>
  <c r="Y55" i="2"/>
  <c r="Y7" i="4"/>
  <c r="Y58" i="2"/>
  <c r="Y59" i="2"/>
  <c r="Y60" i="2"/>
  <c r="Y61" i="2"/>
  <c r="Y62" i="2"/>
  <c r="Y63" i="2"/>
  <c r="Y64" i="2"/>
  <c r="Y65" i="2"/>
  <c r="Y66" i="2"/>
  <c r="Y67" i="2"/>
  <c r="Y69" i="2"/>
  <c r="Y8" i="4"/>
  <c r="Y9" i="4"/>
  <c r="Y11" i="4"/>
  <c r="Y12" i="4"/>
  <c r="Y18" i="4"/>
  <c r="Y21" i="4"/>
  <c r="Y23" i="4"/>
  <c r="Y26" i="4"/>
  <c r="Y28" i="4"/>
  <c r="I40" i="4"/>
  <c r="I4" i="6"/>
  <c r="I5" i="6"/>
  <c r="I32" i="4"/>
  <c r="J6" i="5"/>
  <c r="I7" i="6"/>
  <c r="I34" i="4"/>
  <c r="J7" i="5"/>
  <c r="I8" i="6"/>
  <c r="J12" i="5"/>
  <c r="I10" i="6"/>
  <c r="J20" i="5"/>
  <c r="I12" i="6"/>
  <c r="I15" i="6"/>
  <c r="I21" i="6"/>
  <c r="J191" i="18"/>
  <c r="Z4" i="2"/>
  <c r="Z16" i="2"/>
  <c r="Z17" i="2"/>
  <c r="Z18" i="2"/>
  <c r="Z19" i="2"/>
  <c r="Z20" i="2"/>
  <c r="Z21" i="2"/>
  <c r="Z22" i="2"/>
  <c r="Z23" i="2"/>
  <c r="Z24" i="2"/>
  <c r="Z25" i="2"/>
  <c r="Z27" i="2"/>
  <c r="Z4" i="4"/>
  <c r="Z30" i="2"/>
  <c r="Z31" i="2"/>
  <c r="Z32" i="2"/>
  <c r="Z33" i="2"/>
  <c r="Z34" i="2"/>
  <c r="Z35" i="2"/>
  <c r="Z36" i="2"/>
  <c r="Z37" i="2"/>
  <c r="Z38" i="2"/>
  <c r="Z39" i="2"/>
  <c r="Z41" i="2"/>
  <c r="Z6" i="4"/>
  <c r="Z44" i="2"/>
  <c r="Z45" i="2"/>
  <c r="Z46" i="2"/>
  <c r="Z47" i="2"/>
  <c r="Z48" i="2"/>
  <c r="Z49" i="2"/>
  <c r="Z50" i="2"/>
  <c r="Z51" i="2"/>
  <c r="Z52" i="2"/>
  <c r="Z53" i="2"/>
  <c r="Z55" i="2"/>
  <c r="Z7" i="4"/>
  <c r="Z58" i="2"/>
  <c r="Z59" i="2"/>
  <c r="Z60" i="2"/>
  <c r="Z61" i="2"/>
  <c r="Z62" i="2"/>
  <c r="Z63" i="2"/>
  <c r="Z64" i="2"/>
  <c r="Z65" i="2"/>
  <c r="Z66" i="2"/>
  <c r="Z67" i="2"/>
  <c r="Z69" i="2"/>
  <c r="Z8" i="4"/>
  <c r="Z9" i="4"/>
  <c r="Z11" i="4"/>
  <c r="Z12" i="4"/>
  <c r="K25" i="5"/>
  <c r="Z18" i="4"/>
  <c r="Z21" i="4"/>
  <c r="Z23" i="4"/>
  <c r="Z26" i="4"/>
  <c r="Z28" i="4"/>
  <c r="AA4" i="2"/>
  <c r="AA16" i="2"/>
  <c r="AA17" i="2"/>
  <c r="AA18" i="2"/>
  <c r="AA19" i="2"/>
  <c r="AA20" i="2"/>
  <c r="AA21" i="2"/>
  <c r="AA22" i="2"/>
  <c r="AA23" i="2"/>
  <c r="AA24" i="2"/>
  <c r="AA25" i="2"/>
  <c r="AA27" i="2"/>
  <c r="AA4" i="4"/>
  <c r="AA30" i="2"/>
  <c r="AA31" i="2"/>
  <c r="AA32" i="2"/>
  <c r="AA33" i="2"/>
  <c r="AA34" i="2"/>
  <c r="AA35" i="2"/>
  <c r="AA36" i="2"/>
  <c r="AA37" i="2"/>
  <c r="AA38" i="2"/>
  <c r="AA39" i="2"/>
  <c r="AA41" i="2"/>
  <c r="AA6" i="4"/>
  <c r="AA44" i="2"/>
  <c r="AA45" i="2"/>
  <c r="AA46" i="2"/>
  <c r="AA47" i="2"/>
  <c r="AA48" i="2"/>
  <c r="AA49" i="2"/>
  <c r="AA50" i="2"/>
  <c r="AA51" i="2"/>
  <c r="AA52" i="2"/>
  <c r="AA53" i="2"/>
  <c r="AA55" i="2"/>
  <c r="AA7" i="4"/>
  <c r="AA58" i="2"/>
  <c r="AA59" i="2"/>
  <c r="AA60" i="2"/>
  <c r="AA61" i="2"/>
  <c r="AA62" i="2"/>
  <c r="AA63" i="2"/>
  <c r="AA64" i="2"/>
  <c r="AA65" i="2"/>
  <c r="AA66" i="2"/>
  <c r="AA67" i="2"/>
  <c r="AA69" i="2"/>
  <c r="AA8" i="4"/>
  <c r="AA9" i="4"/>
  <c r="AA11" i="4"/>
  <c r="AA12" i="4"/>
  <c r="AA18" i="4"/>
  <c r="AA21" i="4"/>
  <c r="AA23" i="4"/>
  <c r="AA26" i="4"/>
  <c r="AA28" i="4"/>
  <c r="AB4" i="2"/>
  <c r="AB16" i="2"/>
  <c r="AB17" i="2"/>
  <c r="AB18" i="2"/>
  <c r="AB19" i="2"/>
  <c r="AB20" i="2"/>
  <c r="AB21" i="2"/>
  <c r="AB22" i="2"/>
  <c r="AB23" i="2"/>
  <c r="AB24" i="2"/>
  <c r="AB25" i="2"/>
  <c r="AB27" i="2"/>
  <c r="AB4" i="4"/>
  <c r="AB30" i="2"/>
  <c r="AB31" i="2"/>
  <c r="AB32" i="2"/>
  <c r="AB33" i="2"/>
  <c r="AB34" i="2"/>
  <c r="AB35" i="2"/>
  <c r="AB36" i="2"/>
  <c r="AB37" i="2"/>
  <c r="AB38" i="2"/>
  <c r="AB39" i="2"/>
  <c r="AB41" i="2"/>
  <c r="AB6" i="4"/>
  <c r="AB44" i="2"/>
  <c r="AB45" i="2"/>
  <c r="AB46" i="2"/>
  <c r="AB47" i="2"/>
  <c r="AB48" i="2"/>
  <c r="AB49" i="2"/>
  <c r="AB50" i="2"/>
  <c r="AB51" i="2"/>
  <c r="AB52" i="2"/>
  <c r="AB53" i="2"/>
  <c r="AB55" i="2"/>
  <c r="AB7" i="4"/>
  <c r="AB58" i="2"/>
  <c r="AB59" i="2"/>
  <c r="AB60" i="2"/>
  <c r="AB61" i="2"/>
  <c r="AB62" i="2"/>
  <c r="AB63" i="2"/>
  <c r="AB64" i="2"/>
  <c r="AB65" i="2"/>
  <c r="AB66" i="2"/>
  <c r="AB67" i="2"/>
  <c r="AB69" i="2"/>
  <c r="AB8" i="4"/>
  <c r="AB9" i="4"/>
  <c r="AB11" i="4"/>
  <c r="AB12" i="4"/>
  <c r="AB18" i="4"/>
  <c r="AB21" i="4"/>
  <c r="AB23" i="4"/>
  <c r="AB26" i="4"/>
  <c r="AB28" i="4"/>
  <c r="J40" i="4"/>
  <c r="J4" i="6"/>
  <c r="J5" i="6"/>
  <c r="J32" i="4"/>
  <c r="K6" i="5"/>
  <c r="J7" i="6"/>
  <c r="J34" i="4"/>
  <c r="K7" i="5"/>
  <c r="J8" i="6"/>
  <c r="K12" i="5"/>
  <c r="J10" i="6"/>
  <c r="K20" i="5"/>
  <c r="J12" i="6"/>
  <c r="J15" i="6"/>
  <c r="J21" i="6"/>
  <c r="K191" i="18"/>
  <c r="AC4" i="2"/>
  <c r="AC16" i="2"/>
  <c r="AC17" i="2"/>
  <c r="AC18" i="2"/>
  <c r="AC19" i="2"/>
  <c r="AC20" i="2"/>
  <c r="AC21" i="2"/>
  <c r="AC22" i="2"/>
  <c r="AC23" i="2"/>
  <c r="AC24" i="2"/>
  <c r="AC25" i="2"/>
  <c r="AC27" i="2"/>
  <c r="AC4" i="4"/>
  <c r="AC30" i="2"/>
  <c r="AC31" i="2"/>
  <c r="AC32" i="2"/>
  <c r="AC33" i="2"/>
  <c r="AC34" i="2"/>
  <c r="AC35" i="2"/>
  <c r="AC36" i="2"/>
  <c r="AC37" i="2"/>
  <c r="AC38" i="2"/>
  <c r="AC39" i="2"/>
  <c r="AC41" i="2"/>
  <c r="AC6" i="4"/>
  <c r="AC44" i="2"/>
  <c r="AC45" i="2"/>
  <c r="AC46" i="2"/>
  <c r="AC47" i="2"/>
  <c r="AC48" i="2"/>
  <c r="AC49" i="2"/>
  <c r="AC50" i="2"/>
  <c r="AC51" i="2"/>
  <c r="AC52" i="2"/>
  <c r="AC53" i="2"/>
  <c r="AC55" i="2"/>
  <c r="AC7" i="4"/>
  <c r="AC58" i="2"/>
  <c r="AC59" i="2"/>
  <c r="AC60" i="2"/>
  <c r="AC61" i="2"/>
  <c r="AC62" i="2"/>
  <c r="AC63" i="2"/>
  <c r="AC64" i="2"/>
  <c r="AC65" i="2"/>
  <c r="AC66" i="2"/>
  <c r="AC67" i="2"/>
  <c r="AC69" i="2"/>
  <c r="AC8" i="4"/>
  <c r="AC9" i="4"/>
  <c r="AC11" i="4"/>
  <c r="AC12" i="4"/>
  <c r="L25" i="5"/>
  <c r="AC18" i="4"/>
  <c r="AC21" i="4"/>
  <c r="AC23" i="4"/>
  <c r="AC26" i="4"/>
  <c r="AC28" i="4"/>
  <c r="AD4" i="2"/>
  <c r="AD16" i="2"/>
  <c r="AD17" i="2"/>
  <c r="AD18" i="2"/>
  <c r="AD19" i="2"/>
  <c r="AD20" i="2"/>
  <c r="AD21" i="2"/>
  <c r="AD22" i="2"/>
  <c r="AD23" i="2"/>
  <c r="AD24" i="2"/>
  <c r="AD25" i="2"/>
  <c r="AD27" i="2"/>
  <c r="AD4" i="4"/>
  <c r="AD30" i="2"/>
  <c r="AD31" i="2"/>
  <c r="AD32" i="2"/>
  <c r="AD33" i="2"/>
  <c r="AD34" i="2"/>
  <c r="AD35" i="2"/>
  <c r="AD36" i="2"/>
  <c r="AD37" i="2"/>
  <c r="AD38" i="2"/>
  <c r="AD39" i="2"/>
  <c r="AD41" i="2"/>
  <c r="AD6" i="4"/>
  <c r="AD44" i="2"/>
  <c r="AD45" i="2"/>
  <c r="AD46" i="2"/>
  <c r="AD47" i="2"/>
  <c r="AD48" i="2"/>
  <c r="AD49" i="2"/>
  <c r="AD50" i="2"/>
  <c r="AD51" i="2"/>
  <c r="AD52" i="2"/>
  <c r="AD53" i="2"/>
  <c r="AD55" i="2"/>
  <c r="AD7" i="4"/>
  <c r="AD58" i="2"/>
  <c r="AD59" i="2"/>
  <c r="AD60" i="2"/>
  <c r="AD61" i="2"/>
  <c r="AD62" i="2"/>
  <c r="AD63" i="2"/>
  <c r="AD64" i="2"/>
  <c r="AD65" i="2"/>
  <c r="AD66" i="2"/>
  <c r="AD67" i="2"/>
  <c r="AD69" i="2"/>
  <c r="AD8" i="4"/>
  <c r="AD9" i="4"/>
  <c r="AD11" i="4"/>
  <c r="AD12" i="4"/>
  <c r="AD18" i="4"/>
  <c r="AD21" i="4"/>
  <c r="AD23" i="4"/>
  <c r="AD26" i="4"/>
  <c r="AD28" i="4"/>
  <c r="AE4" i="2"/>
  <c r="AE16" i="2"/>
  <c r="AE17" i="2"/>
  <c r="AE18" i="2"/>
  <c r="AE19" i="2"/>
  <c r="AE20" i="2"/>
  <c r="AE21" i="2"/>
  <c r="AE22" i="2"/>
  <c r="AE23" i="2"/>
  <c r="AE24" i="2"/>
  <c r="AE25" i="2"/>
  <c r="AE27" i="2"/>
  <c r="AE4" i="4"/>
  <c r="AE30" i="2"/>
  <c r="AE31" i="2"/>
  <c r="AE32" i="2"/>
  <c r="AE33" i="2"/>
  <c r="AE34" i="2"/>
  <c r="AE35" i="2"/>
  <c r="AE36" i="2"/>
  <c r="AE37" i="2"/>
  <c r="AE38" i="2"/>
  <c r="AE39" i="2"/>
  <c r="AE41" i="2"/>
  <c r="AE6" i="4"/>
  <c r="AE44" i="2"/>
  <c r="AE45" i="2"/>
  <c r="AE46" i="2"/>
  <c r="AE47" i="2"/>
  <c r="AE48" i="2"/>
  <c r="AE49" i="2"/>
  <c r="AE50" i="2"/>
  <c r="AE51" i="2"/>
  <c r="AE52" i="2"/>
  <c r="AE53" i="2"/>
  <c r="AE55" i="2"/>
  <c r="AE7" i="4"/>
  <c r="AE58" i="2"/>
  <c r="AE59" i="2"/>
  <c r="AE60" i="2"/>
  <c r="AE61" i="2"/>
  <c r="AE62" i="2"/>
  <c r="AE63" i="2"/>
  <c r="AE64" i="2"/>
  <c r="AE65" i="2"/>
  <c r="AE66" i="2"/>
  <c r="AE67" i="2"/>
  <c r="AE69" i="2"/>
  <c r="AE8" i="4"/>
  <c r="AE9" i="4"/>
  <c r="AE11" i="4"/>
  <c r="AE12" i="4"/>
  <c r="AE18" i="4"/>
  <c r="AE21" i="4"/>
  <c r="AE23" i="4"/>
  <c r="AE26" i="4"/>
  <c r="AE28" i="4"/>
  <c r="K40" i="4"/>
  <c r="K4" i="6"/>
  <c r="K5" i="6"/>
  <c r="K32" i="4"/>
  <c r="L6" i="5"/>
  <c r="K7" i="6"/>
  <c r="K34" i="4"/>
  <c r="L7" i="5"/>
  <c r="K8" i="6"/>
  <c r="L12" i="5"/>
  <c r="K10" i="6"/>
  <c r="L20" i="5"/>
  <c r="K12" i="6"/>
  <c r="K15" i="6"/>
  <c r="K21" i="6"/>
  <c r="L191" i="18"/>
  <c r="AF4" i="2"/>
  <c r="AF16" i="2"/>
  <c r="AF17" i="2"/>
  <c r="AF18" i="2"/>
  <c r="AF19" i="2"/>
  <c r="AF20" i="2"/>
  <c r="AF21" i="2"/>
  <c r="AF22" i="2"/>
  <c r="AF23" i="2"/>
  <c r="AF24" i="2"/>
  <c r="AF25" i="2"/>
  <c r="AF27" i="2"/>
  <c r="AF4" i="4"/>
  <c r="AF30" i="2"/>
  <c r="AF31" i="2"/>
  <c r="AF32" i="2"/>
  <c r="AF33" i="2"/>
  <c r="AF34" i="2"/>
  <c r="AF35" i="2"/>
  <c r="AF36" i="2"/>
  <c r="AF37" i="2"/>
  <c r="AF38" i="2"/>
  <c r="AF39" i="2"/>
  <c r="AF41" i="2"/>
  <c r="AF6" i="4"/>
  <c r="AF44" i="2"/>
  <c r="AF45" i="2"/>
  <c r="AF46" i="2"/>
  <c r="AF47" i="2"/>
  <c r="AF48" i="2"/>
  <c r="AF49" i="2"/>
  <c r="AF50" i="2"/>
  <c r="AF51" i="2"/>
  <c r="AF52" i="2"/>
  <c r="AF53" i="2"/>
  <c r="AF55" i="2"/>
  <c r="AF7" i="4"/>
  <c r="AF58" i="2"/>
  <c r="AF59" i="2"/>
  <c r="AF60" i="2"/>
  <c r="AF61" i="2"/>
  <c r="AF62" i="2"/>
  <c r="AF63" i="2"/>
  <c r="AF64" i="2"/>
  <c r="AF65" i="2"/>
  <c r="AF66" i="2"/>
  <c r="AF67" i="2"/>
  <c r="AF69" i="2"/>
  <c r="AF8" i="4"/>
  <c r="AF9" i="4"/>
  <c r="AF11" i="4"/>
  <c r="AF12" i="4"/>
  <c r="M25" i="5"/>
  <c r="AF18" i="4"/>
  <c r="AF21" i="4"/>
  <c r="AF23" i="4"/>
  <c r="AF26" i="4"/>
  <c r="AF28" i="4"/>
  <c r="AG4" i="2"/>
  <c r="AG16" i="2"/>
  <c r="AG17" i="2"/>
  <c r="AG18" i="2"/>
  <c r="AG19" i="2"/>
  <c r="AG20" i="2"/>
  <c r="AG21" i="2"/>
  <c r="AG22" i="2"/>
  <c r="AG23" i="2"/>
  <c r="AG24" i="2"/>
  <c r="AG25" i="2"/>
  <c r="AG27" i="2"/>
  <c r="AG4" i="4"/>
  <c r="AG30" i="2"/>
  <c r="AG31" i="2"/>
  <c r="AG32" i="2"/>
  <c r="AG33" i="2"/>
  <c r="AG34" i="2"/>
  <c r="AG35" i="2"/>
  <c r="AG36" i="2"/>
  <c r="AG37" i="2"/>
  <c r="AG38" i="2"/>
  <c r="AG39" i="2"/>
  <c r="AG41" i="2"/>
  <c r="AG6" i="4"/>
  <c r="AG44" i="2"/>
  <c r="AG45" i="2"/>
  <c r="AG46" i="2"/>
  <c r="AG47" i="2"/>
  <c r="AG48" i="2"/>
  <c r="AG49" i="2"/>
  <c r="AG50" i="2"/>
  <c r="AG51" i="2"/>
  <c r="AG52" i="2"/>
  <c r="AG53" i="2"/>
  <c r="AG55" i="2"/>
  <c r="AG7" i="4"/>
  <c r="AG58" i="2"/>
  <c r="AG59" i="2"/>
  <c r="AG60" i="2"/>
  <c r="AG61" i="2"/>
  <c r="AG62" i="2"/>
  <c r="AG63" i="2"/>
  <c r="AG64" i="2"/>
  <c r="AG65" i="2"/>
  <c r="AG66" i="2"/>
  <c r="AG67" i="2"/>
  <c r="AG69" i="2"/>
  <c r="AG8" i="4"/>
  <c r="AG9" i="4"/>
  <c r="AG11" i="4"/>
  <c r="AG12" i="4"/>
  <c r="AG18" i="4"/>
  <c r="AG21" i="4"/>
  <c r="AG23" i="4"/>
  <c r="AG26" i="4"/>
  <c r="AG28" i="4"/>
  <c r="AH4" i="2"/>
  <c r="AH16" i="2"/>
  <c r="AH17" i="2"/>
  <c r="AH18" i="2"/>
  <c r="AH19" i="2"/>
  <c r="AH20" i="2"/>
  <c r="AH21" i="2"/>
  <c r="AH22" i="2"/>
  <c r="AH23" i="2"/>
  <c r="AH24" i="2"/>
  <c r="AH25" i="2"/>
  <c r="AH27" i="2"/>
  <c r="AH4" i="4"/>
  <c r="AH30" i="2"/>
  <c r="AH31" i="2"/>
  <c r="AH32" i="2"/>
  <c r="AH33" i="2"/>
  <c r="AH34" i="2"/>
  <c r="AH35" i="2"/>
  <c r="AH36" i="2"/>
  <c r="AH37" i="2"/>
  <c r="AH38" i="2"/>
  <c r="AH39" i="2"/>
  <c r="AH41" i="2"/>
  <c r="AH6" i="4"/>
  <c r="AH44" i="2"/>
  <c r="AH45" i="2"/>
  <c r="AH46" i="2"/>
  <c r="AH47" i="2"/>
  <c r="AH48" i="2"/>
  <c r="AH49" i="2"/>
  <c r="AH50" i="2"/>
  <c r="AH51" i="2"/>
  <c r="AH52" i="2"/>
  <c r="AH53" i="2"/>
  <c r="AH55" i="2"/>
  <c r="AH7" i="4"/>
  <c r="AH58" i="2"/>
  <c r="AH59" i="2"/>
  <c r="AH60" i="2"/>
  <c r="AH61" i="2"/>
  <c r="AH62" i="2"/>
  <c r="AH63" i="2"/>
  <c r="AH64" i="2"/>
  <c r="AH65" i="2"/>
  <c r="AH66" i="2"/>
  <c r="AH67" i="2"/>
  <c r="AH69" i="2"/>
  <c r="AH8" i="4"/>
  <c r="AH9" i="4"/>
  <c r="AH11" i="4"/>
  <c r="AH12" i="4"/>
  <c r="AH18" i="4"/>
  <c r="AH21" i="4"/>
  <c r="AH23" i="4"/>
  <c r="AH26" i="4"/>
  <c r="AH28" i="4"/>
  <c r="L40" i="4"/>
  <c r="L4" i="6"/>
  <c r="L5" i="6"/>
  <c r="L32" i="4"/>
  <c r="M6" i="5"/>
  <c r="L7" i="6"/>
  <c r="L34" i="4"/>
  <c r="M7" i="5"/>
  <c r="L8" i="6"/>
  <c r="M12" i="5"/>
  <c r="L10" i="6"/>
  <c r="M20" i="5"/>
  <c r="L12" i="6"/>
  <c r="L15" i="6"/>
  <c r="L21" i="6"/>
  <c r="M191" i="18"/>
  <c r="AI4" i="2"/>
  <c r="AI16" i="2"/>
  <c r="AI17" i="2"/>
  <c r="AI18" i="2"/>
  <c r="AI19" i="2"/>
  <c r="AI20" i="2"/>
  <c r="AI21" i="2"/>
  <c r="AI22" i="2"/>
  <c r="AI23" i="2"/>
  <c r="AI24" i="2"/>
  <c r="AI25" i="2"/>
  <c r="AI27" i="2"/>
  <c r="AI4" i="4"/>
  <c r="AI30" i="2"/>
  <c r="AI31" i="2"/>
  <c r="AI32" i="2"/>
  <c r="AI33" i="2"/>
  <c r="AI34" i="2"/>
  <c r="AI35" i="2"/>
  <c r="AI36" i="2"/>
  <c r="AI37" i="2"/>
  <c r="AI38" i="2"/>
  <c r="AI39" i="2"/>
  <c r="AI41" i="2"/>
  <c r="AI6" i="4"/>
  <c r="AI44" i="2"/>
  <c r="AI45" i="2"/>
  <c r="AI46" i="2"/>
  <c r="AI47" i="2"/>
  <c r="AI48" i="2"/>
  <c r="AI49" i="2"/>
  <c r="AI50" i="2"/>
  <c r="AI51" i="2"/>
  <c r="AI52" i="2"/>
  <c r="AI53" i="2"/>
  <c r="AI55" i="2"/>
  <c r="AI7" i="4"/>
  <c r="AI58" i="2"/>
  <c r="AI59" i="2"/>
  <c r="AI60" i="2"/>
  <c r="AI61" i="2"/>
  <c r="AI62" i="2"/>
  <c r="AI63" i="2"/>
  <c r="AI64" i="2"/>
  <c r="AI65" i="2"/>
  <c r="AI66" i="2"/>
  <c r="AI67" i="2"/>
  <c r="AI69" i="2"/>
  <c r="AI8" i="4"/>
  <c r="AI9" i="4"/>
  <c r="AI11" i="4"/>
  <c r="AI12" i="4"/>
  <c r="N25" i="5"/>
  <c r="AI18" i="4"/>
  <c r="AI21" i="4"/>
  <c r="AI23" i="4"/>
  <c r="AI26" i="4"/>
  <c r="AI28" i="4"/>
  <c r="AJ4" i="2"/>
  <c r="AJ16" i="2"/>
  <c r="AJ17" i="2"/>
  <c r="AJ18" i="2"/>
  <c r="AJ19" i="2"/>
  <c r="AJ20" i="2"/>
  <c r="AJ21" i="2"/>
  <c r="AJ22" i="2"/>
  <c r="AJ23" i="2"/>
  <c r="AJ24" i="2"/>
  <c r="AJ25" i="2"/>
  <c r="AJ27" i="2"/>
  <c r="AJ4" i="4"/>
  <c r="AJ30" i="2"/>
  <c r="AJ31" i="2"/>
  <c r="AJ32" i="2"/>
  <c r="AJ33" i="2"/>
  <c r="AJ34" i="2"/>
  <c r="AJ35" i="2"/>
  <c r="AJ36" i="2"/>
  <c r="AJ37" i="2"/>
  <c r="AJ38" i="2"/>
  <c r="AJ39" i="2"/>
  <c r="AJ41" i="2"/>
  <c r="AJ6" i="4"/>
  <c r="AJ44" i="2"/>
  <c r="AJ45" i="2"/>
  <c r="AJ46" i="2"/>
  <c r="AJ47" i="2"/>
  <c r="AJ48" i="2"/>
  <c r="AJ49" i="2"/>
  <c r="AJ50" i="2"/>
  <c r="AJ51" i="2"/>
  <c r="AJ52" i="2"/>
  <c r="AJ53" i="2"/>
  <c r="AJ55" i="2"/>
  <c r="AJ7" i="4"/>
  <c r="AJ58" i="2"/>
  <c r="AJ59" i="2"/>
  <c r="AJ60" i="2"/>
  <c r="AJ61" i="2"/>
  <c r="AJ62" i="2"/>
  <c r="AJ63" i="2"/>
  <c r="AJ64" i="2"/>
  <c r="AJ65" i="2"/>
  <c r="AJ66" i="2"/>
  <c r="AJ67" i="2"/>
  <c r="AJ69" i="2"/>
  <c r="AJ8" i="4"/>
  <c r="AJ9" i="4"/>
  <c r="AJ11" i="4"/>
  <c r="AJ12" i="4"/>
  <c r="AJ18" i="4"/>
  <c r="AJ21" i="4"/>
  <c r="AJ23" i="4"/>
  <c r="AJ26" i="4"/>
  <c r="AJ28" i="4"/>
  <c r="AK4" i="2"/>
  <c r="AK16" i="2"/>
  <c r="AK17" i="2"/>
  <c r="AK18" i="2"/>
  <c r="AK19" i="2"/>
  <c r="AK20" i="2"/>
  <c r="AK21" i="2"/>
  <c r="AK22" i="2"/>
  <c r="AK23" i="2"/>
  <c r="AK24" i="2"/>
  <c r="AK25" i="2"/>
  <c r="AK27" i="2"/>
  <c r="AK4" i="4"/>
  <c r="AK30" i="2"/>
  <c r="AK31" i="2"/>
  <c r="AK32" i="2"/>
  <c r="AK33" i="2"/>
  <c r="AK34" i="2"/>
  <c r="AK35" i="2"/>
  <c r="AK36" i="2"/>
  <c r="AK37" i="2"/>
  <c r="AK38" i="2"/>
  <c r="AK39" i="2"/>
  <c r="AK41" i="2"/>
  <c r="AK6" i="4"/>
  <c r="AK44" i="2"/>
  <c r="AK45" i="2"/>
  <c r="AK46" i="2"/>
  <c r="AK47" i="2"/>
  <c r="AK48" i="2"/>
  <c r="AK49" i="2"/>
  <c r="AK50" i="2"/>
  <c r="AK51" i="2"/>
  <c r="AK52" i="2"/>
  <c r="AK53" i="2"/>
  <c r="AK55" i="2"/>
  <c r="AK7" i="4"/>
  <c r="AK58" i="2"/>
  <c r="AK59" i="2"/>
  <c r="AK60" i="2"/>
  <c r="AK61" i="2"/>
  <c r="AK62" i="2"/>
  <c r="AK63" i="2"/>
  <c r="AK64" i="2"/>
  <c r="AK65" i="2"/>
  <c r="AK66" i="2"/>
  <c r="AK67" i="2"/>
  <c r="AK69" i="2"/>
  <c r="AK8" i="4"/>
  <c r="AK9" i="4"/>
  <c r="AK11" i="4"/>
  <c r="AK12" i="4"/>
  <c r="AK18" i="4"/>
  <c r="AK21" i="4"/>
  <c r="AK23" i="4"/>
  <c r="AK26" i="4"/>
  <c r="AK28" i="4"/>
  <c r="M40" i="4"/>
  <c r="M4" i="6"/>
  <c r="M5" i="6"/>
  <c r="M32" i="4"/>
  <c r="N6" i="5"/>
  <c r="M7" i="6"/>
  <c r="M34" i="4"/>
  <c r="N7" i="5"/>
  <c r="M8" i="6"/>
  <c r="N12" i="5"/>
  <c r="M10" i="6"/>
  <c r="N20" i="5"/>
  <c r="M12" i="6"/>
  <c r="M15" i="6"/>
  <c r="M21" i="6"/>
  <c r="N191" i="18"/>
  <c r="AL4" i="2"/>
  <c r="AL16" i="2"/>
  <c r="AL17" i="2"/>
  <c r="AL18" i="2"/>
  <c r="AL19" i="2"/>
  <c r="AL20" i="2"/>
  <c r="AL21" i="2"/>
  <c r="AL22" i="2"/>
  <c r="AL23" i="2"/>
  <c r="AL24" i="2"/>
  <c r="AL25" i="2"/>
  <c r="AL27" i="2"/>
  <c r="AL4" i="4"/>
  <c r="AL30" i="2"/>
  <c r="AL31" i="2"/>
  <c r="AL32" i="2"/>
  <c r="AL33" i="2"/>
  <c r="AL34" i="2"/>
  <c r="AL35" i="2"/>
  <c r="AL36" i="2"/>
  <c r="AL37" i="2"/>
  <c r="AL38" i="2"/>
  <c r="AL39" i="2"/>
  <c r="AL41" i="2"/>
  <c r="AL6" i="4"/>
  <c r="AL44" i="2"/>
  <c r="AL45" i="2"/>
  <c r="AL46" i="2"/>
  <c r="AL47" i="2"/>
  <c r="AL48" i="2"/>
  <c r="AL49" i="2"/>
  <c r="AL50" i="2"/>
  <c r="AL51" i="2"/>
  <c r="AL52" i="2"/>
  <c r="AL53" i="2"/>
  <c r="AL55" i="2"/>
  <c r="AL7" i="4"/>
  <c r="AL58" i="2"/>
  <c r="AL59" i="2"/>
  <c r="AL60" i="2"/>
  <c r="AL61" i="2"/>
  <c r="AL62" i="2"/>
  <c r="AL63" i="2"/>
  <c r="AL64" i="2"/>
  <c r="AL65" i="2"/>
  <c r="AL66" i="2"/>
  <c r="AL67" i="2"/>
  <c r="AL69" i="2"/>
  <c r="AL8" i="4"/>
  <c r="AL9" i="4"/>
  <c r="AL11" i="4"/>
  <c r="AL12" i="4"/>
  <c r="O25" i="5"/>
  <c r="AL18" i="4"/>
  <c r="AL21" i="4"/>
  <c r="AL23" i="4"/>
  <c r="AL26" i="4"/>
  <c r="AL28" i="4"/>
  <c r="AM4" i="2"/>
  <c r="AM16" i="2"/>
  <c r="AM17" i="2"/>
  <c r="AM18" i="2"/>
  <c r="AM19" i="2"/>
  <c r="AM20" i="2"/>
  <c r="AM21" i="2"/>
  <c r="AM22" i="2"/>
  <c r="AM23" i="2"/>
  <c r="AM24" i="2"/>
  <c r="AM25" i="2"/>
  <c r="AM27" i="2"/>
  <c r="AM4" i="4"/>
  <c r="AM30" i="2"/>
  <c r="AM31" i="2"/>
  <c r="AM32" i="2"/>
  <c r="AM33" i="2"/>
  <c r="AM34" i="2"/>
  <c r="AM35" i="2"/>
  <c r="AM36" i="2"/>
  <c r="AM37" i="2"/>
  <c r="AM38" i="2"/>
  <c r="AM39" i="2"/>
  <c r="AM41" i="2"/>
  <c r="AM6" i="4"/>
  <c r="AM44" i="2"/>
  <c r="AM45" i="2"/>
  <c r="AM46" i="2"/>
  <c r="AM47" i="2"/>
  <c r="AM48" i="2"/>
  <c r="AM49" i="2"/>
  <c r="AM50" i="2"/>
  <c r="AM51" i="2"/>
  <c r="AM52" i="2"/>
  <c r="AM53" i="2"/>
  <c r="AM55" i="2"/>
  <c r="AM7" i="4"/>
  <c r="AM58" i="2"/>
  <c r="AM59" i="2"/>
  <c r="AM60" i="2"/>
  <c r="AM61" i="2"/>
  <c r="AM62" i="2"/>
  <c r="AM63" i="2"/>
  <c r="AM64" i="2"/>
  <c r="AM65" i="2"/>
  <c r="AM66" i="2"/>
  <c r="AM67" i="2"/>
  <c r="AM69" i="2"/>
  <c r="AM8" i="4"/>
  <c r="AM9" i="4"/>
  <c r="AM11" i="4"/>
  <c r="AM12" i="4"/>
  <c r="AM18" i="4"/>
  <c r="AM21" i="4"/>
  <c r="AM23" i="4"/>
  <c r="AM26" i="4"/>
  <c r="AM28" i="4"/>
  <c r="AN4" i="2"/>
  <c r="AN16" i="2"/>
  <c r="AN17" i="2"/>
  <c r="AN18" i="2"/>
  <c r="AN19" i="2"/>
  <c r="AN20" i="2"/>
  <c r="AN21" i="2"/>
  <c r="AN22" i="2"/>
  <c r="AN23" i="2"/>
  <c r="AN24" i="2"/>
  <c r="AN25" i="2"/>
  <c r="AN27" i="2"/>
  <c r="AN4" i="4"/>
  <c r="AN30" i="2"/>
  <c r="AN31" i="2"/>
  <c r="AN32" i="2"/>
  <c r="AN33" i="2"/>
  <c r="AN34" i="2"/>
  <c r="AN35" i="2"/>
  <c r="AN36" i="2"/>
  <c r="AN37" i="2"/>
  <c r="AN38" i="2"/>
  <c r="AN39" i="2"/>
  <c r="AN41" i="2"/>
  <c r="AN6" i="4"/>
  <c r="AN44" i="2"/>
  <c r="AN45" i="2"/>
  <c r="AN46" i="2"/>
  <c r="AN47" i="2"/>
  <c r="AN48" i="2"/>
  <c r="AN49" i="2"/>
  <c r="AN50" i="2"/>
  <c r="AN51" i="2"/>
  <c r="AN52" i="2"/>
  <c r="AN53" i="2"/>
  <c r="AN55" i="2"/>
  <c r="AN7" i="4"/>
  <c r="AN58" i="2"/>
  <c r="AN59" i="2"/>
  <c r="AN60" i="2"/>
  <c r="AN61" i="2"/>
  <c r="AN62" i="2"/>
  <c r="AN63" i="2"/>
  <c r="AN64" i="2"/>
  <c r="AN65" i="2"/>
  <c r="AN66" i="2"/>
  <c r="AN67" i="2"/>
  <c r="AN69" i="2"/>
  <c r="AN8" i="4"/>
  <c r="AN9" i="4"/>
  <c r="AN11" i="4"/>
  <c r="AN12" i="4"/>
  <c r="AN18" i="4"/>
  <c r="AN21" i="4"/>
  <c r="AN23" i="4"/>
  <c r="AN26" i="4"/>
  <c r="AN28" i="4"/>
  <c r="N40" i="4"/>
  <c r="N4" i="6"/>
  <c r="N5" i="6"/>
  <c r="N32" i="4"/>
  <c r="O6" i="5"/>
  <c r="N7" i="6"/>
  <c r="N34" i="4"/>
  <c r="O7" i="5"/>
  <c r="N8" i="6"/>
  <c r="O12" i="5"/>
  <c r="N10" i="6"/>
  <c r="O20" i="5"/>
  <c r="N12" i="6"/>
  <c r="N15" i="6"/>
  <c r="N21" i="6"/>
  <c r="O191" i="18"/>
  <c r="AO4" i="2"/>
  <c r="AO16" i="2"/>
  <c r="AO17" i="2"/>
  <c r="AO18" i="2"/>
  <c r="AO19" i="2"/>
  <c r="AO20" i="2"/>
  <c r="AO21" i="2"/>
  <c r="AO22" i="2"/>
  <c r="AO23" i="2"/>
  <c r="AO24" i="2"/>
  <c r="AO25" i="2"/>
  <c r="AO27" i="2"/>
  <c r="AO4" i="4"/>
  <c r="AO30" i="2"/>
  <c r="AO31" i="2"/>
  <c r="AO32" i="2"/>
  <c r="AO33" i="2"/>
  <c r="AO34" i="2"/>
  <c r="AO35" i="2"/>
  <c r="AO36" i="2"/>
  <c r="AO37" i="2"/>
  <c r="AO38" i="2"/>
  <c r="AO39" i="2"/>
  <c r="AO41" i="2"/>
  <c r="AO6" i="4"/>
  <c r="AO44" i="2"/>
  <c r="AO45" i="2"/>
  <c r="AO46" i="2"/>
  <c r="AO47" i="2"/>
  <c r="AO48" i="2"/>
  <c r="AO49" i="2"/>
  <c r="AO50" i="2"/>
  <c r="AO51" i="2"/>
  <c r="AO52" i="2"/>
  <c r="AO53" i="2"/>
  <c r="AO55" i="2"/>
  <c r="AO7" i="4"/>
  <c r="AO58" i="2"/>
  <c r="AO59" i="2"/>
  <c r="AO60" i="2"/>
  <c r="AO61" i="2"/>
  <c r="AO62" i="2"/>
  <c r="AO63" i="2"/>
  <c r="AO64" i="2"/>
  <c r="AO65" i="2"/>
  <c r="AO66" i="2"/>
  <c r="AO67" i="2"/>
  <c r="AO69" i="2"/>
  <c r="AO8" i="4"/>
  <c r="AO9" i="4"/>
  <c r="AO11" i="4"/>
  <c r="AO12" i="4"/>
  <c r="P25" i="5"/>
  <c r="AO18" i="4"/>
  <c r="AO21" i="4"/>
  <c r="AO23" i="4"/>
  <c r="AO26" i="4"/>
  <c r="AO28" i="4"/>
  <c r="AP4" i="2"/>
  <c r="AP16" i="2"/>
  <c r="AP17" i="2"/>
  <c r="AP18" i="2"/>
  <c r="AP19" i="2"/>
  <c r="AP20" i="2"/>
  <c r="AP21" i="2"/>
  <c r="AP22" i="2"/>
  <c r="AP23" i="2"/>
  <c r="AP24" i="2"/>
  <c r="AP25" i="2"/>
  <c r="AP27" i="2"/>
  <c r="AP4" i="4"/>
  <c r="AP30" i="2"/>
  <c r="AP31" i="2"/>
  <c r="AP32" i="2"/>
  <c r="AP33" i="2"/>
  <c r="AP34" i="2"/>
  <c r="AP35" i="2"/>
  <c r="AP36" i="2"/>
  <c r="AP37" i="2"/>
  <c r="AP38" i="2"/>
  <c r="AP39" i="2"/>
  <c r="AP41" i="2"/>
  <c r="AP6" i="4"/>
  <c r="AP44" i="2"/>
  <c r="AP45" i="2"/>
  <c r="AP46" i="2"/>
  <c r="AP47" i="2"/>
  <c r="AP48" i="2"/>
  <c r="AP49" i="2"/>
  <c r="AP50" i="2"/>
  <c r="AP51" i="2"/>
  <c r="AP52" i="2"/>
  <c r="AP53" i="2"/>
  <c r="AP55" i="2"/>
  <c r="AP7" i="4"/>
  <c r="AP58" i="2"/>
  <c r="AP59" i="2"/>
  <c r="AP60" i="2"/>
  <c r="AP61" i="2"/>
  <c r="AP62" i="2"/>
  <c r="AP63" i="2"/>
  <c r="AP64" i="2"/>
  <c r="AP65" i="2"/>
  <c r="AP66" i="2"/>
  <c r="AP67" i="2"/>
  <c r="AP69" i="2"/>
  <c r="AP8" i="4"/>
  <c r="AP9" i="4"/>
  <c r="AP11" i="4"/>
  <c r="AP12" i="4"/>
  <c r="AP18" i="4"/>
  <c r="AP21" i="4"/>
  <c r="AP23" i="4"/>
  <c r="AP26" i="4"/>
  <c r="AP28" i="4"/>
  <c r="AQ4" i="2"/>
  <c r="AQ16" i="2"/>
  <c r="AQ17" i="2"/>
  <c r="AQ18" i="2"/>
  <c r="AQ19" i="2"/>
  <c r="AQ20" i="2"/>
  <c r="AQ21" i="2"/>
  <c r="AQ22" i="2"/>
  <c r="AQ23" i="2"/>
  <c r="AQ24" i="2"/>
  <c r="AQ25" i="2"/>
  <c r="AQ27" i="2"/>
  <c r="AQ4" i="4"/>
  <c r="AQ30" i="2"/>
  <c r="AQ31" i="2"/>
  <c r="AQ32" i="2"/>
  <c r="AQ33" i="2"/>
  <c r="AQ34" i="2"/>
  <c r="AQ35" i="2"/>
  <c r="AQ36" i="2"/>
  <c r="AQ37" i="2"/>
  <c r="AQ38" i="2"/>
  <c r="AQ39" i="2"/>
  <c r="AQ41" i="2"/>
  <c r="AQ6" i="4"/>
  <c r="AQ44" i="2"/>
  <c r="AQ45" i="2"/>
  <c r="AQ46" i="2"/>
  <c r="AQ47" i="2"/>
  <c r="AQ48" i="2"/>
  <c r="AQ49" i="2"/>
  <c r="AQ50" i="2"/>
  <c r="AQ51" i="2"/>
  <c r="AQ52" i="2"/>
  <c r="AQ53" i="2"/>
  <c r="AQ55" i="2"/>
  <c r="AQ7" i="4"/>
  <c r="AQ58" i="2"/>
  <c r="AQ59" i="2"/>
  <c r="AQ60" i="2"/>
  <c r="AQ61" i="2"/>
  <c r="AQ62" i="2"/>
  <c r="AQ63" i="2"/>
  <c r="AQ64" i="2"/>
  <c r="AQ65" i="2"/>
  <c r="AQ66" i="2"/>
  <c r="AQ67" i="2"/>
  <c r="AQ69" i="2"/>
  <c r="AQ8" i="4"/>
  <c r="AQ9" i="4"/>
  <c r="AQ11" i="4"/>
  <c r="AQ12" i="4"/>
  <c r="AQ18" i="4"/>
  <c r="AQ21" i="4"/>
  <c r="AQ23" i="4"/>
  <c r="AQ26" i="4"/>
  <c r="AQ28" i="4"/>
  <c r="O40" i="4"/>
  <c r="O4" i="6"/>
  <c r="O5" i="6"/>
  <c r="O32" i="4"/>
  <c r="P6" i="5"/>
  <c r="O7" i="6"/>
  <c r="O34" i="4"/>
  <c r="P7" i="5"/>
  <c r="O8" i="6"/>
  <c r="P12" i="5"/>
  <c r="O10" i="6"/>
  <c r="P20" i="5"/>
  <c r="O12" i="6"/>
  <c r="O15" i="6"/>
  <c r="O21" i="6"/>
  <c r="P191" i="18"/>
  <c r="AR4" i="2"/>
  <c r="AR16" i="2"/>
  <c r="AR17" i="2"/>
  <c r="AR18" i="2"/>
  <c r="AR19" i="2"/>
  <c r="AR20" i="2"/>
  <c r="AR21" i="2"/>
  <c r="AR22" i="2"/>
  <c r="AR23" i="2"/>
  <c r="AR24" i="2"/>
  <c r="AR25" i="2"/>
  <c r="AR27" i="2"/>
  <c r="AR4" i="4"/>
  <c r="AR30" i="2"/>
  <c r="AR31" i="2"/>
  <c r="AR32" i="2"/>
  <c r="AR33" i="2"/>
  <c r="AR34" i="2"/>
  <c r="AR35" i="2"/>
  <c r="AR36" i="2"/>
  <c r="AR37" i="2"/>
  <c r="AR38" i="2"/>
  <c r="AR39" i="2"/>
  <c r="AR41" i="2"/>
  <c r="AR6" i="4"/>
  <c r="AR44" i="2"/>
  <c r="AR45" i="2"/>
  <c r="AR46" i="2"/>
  <c r="AR47" i="2"/>
  <c r="AR48" i="2"/>
  <c r="AR49" i="2"/>
  <c r="AR50" i="2"/>
  <c r="AR51" i="2"/>
  <c r="AR52" i="2"/>
  <c r="AR53" i="2"/>
  <c r="AR55" i="2"/>
  <c r="AR7" i="4"/>
  <c r="AR58" i="2"/>
  <c r="AR59" i="2"/>
  <c r="AR60" i="2"/>
  <c r="AR61" i="2"/>
  <c r="AR62" i="2"/>
  <c r="AR63" i="2"/>
  <c r="AR64" i="2"/>
  <c r="AR65" i="2"/>
  <c r="AR66" i="2"/>
  <c r="AR67" i="2"/>
  <c r="AR69" i="2"/>
  <c r="AR8" i="4"/>
  <c r="AR9" i="4"/>
  <c r="AR11" i="4"/>
  <c r="AR12" i="4"/>
  <c r="Q25" i="5"/>
  <c r="AR18" i="4"/>
  <c r="AR21" i="4"/>
  <c r="AR23" i="4"/>
  <c r="AR26" i="4"/>
  <c r="AR28" i="4"/>
  <c r="AS4" i="2"/>
  <c r="AS16" i="2"/>
  <c r="AS17" i="2"/>
  <c r="AS18" i="2"/>
  <c r="AS19" i="2"/>
  <c r="AS20" i="2"/>
  <c r="AS21" i="2"/>
  <c r="AS22" i="2"/>
  <c r="AS23" i="2"/>
  <c r="AS24" i="2"/>
  <c r="AS25" i="2"/>
  <c r="AS27" i="2"/>
  <c r="AS4" i="4"/>
  <c r="AS30" i="2"/>
  <c r="AS31" i="2"/>
  <c r="AS32" i="2"/>
  <c r="AS33" i="2"/>
  <c r="AS34" i="2"/>
  <c r="AS35" i="2"/>
  <c r="AS36" i="2"/>
  <c r="AS37" i="2"/>
  <c r="AS38" i="2"/>
  <c r="AS39" i="2"/>
  <c r="AS41" i="2"/>
  <c r="AS6" i="4"/>
  <c r="AS44" i="2"/>
  <c r="AS45" i="2"/>
  <c r="AS46" i="2"/>
  <c r="AS47" i="2"/>
  <c r="AS48" i="2"/>
  <c r="AS49" i="2"/>
  <c r="AS50" i="2"/>
  <c r="AS51" i="2"/>
  <c r="AS52" i="2"/>
  <c r="AS53" i="2"/>
  <c r="AS55" i="2"/>
  <c r="AS7" i="4"/>
  <c r="AS58" i="2"/>
  <c r="AS59" i="2"/>
  <c r="AS60" i="2"/>
  <c r="AS61" i="2"/>
  <c r="AS62" i="2"/>
  <c r="AS63" i="2"/>
  <c r="AS64" i="2"/>
  <c r="AS65" i="2"/>
  <c r="AS66" i="2"/>
  <c r="AS67" i="2"/>
  <c r="AS69" i="2"/>
  <c r="AS8" i="4"/>
  <c r="AS9" i="4"/>
  <c r="AS11" i="4"/>
  <c r="AS12" i="4"/>
  <c r="AS18" i="4"/>
  <c r="AS21" i="4"/>
  <c r="AS23" i="4"/>
  <c r="AS26" i="4"/>
  <c r="AS28" i="4"/>
  <c r="AT4" i="2"/>
  <c r="AT16" i="2"/>
  <c r="AT17" i="2"/>
  <c r="AT18" i="2"/>
  <c r="AT19" i="2"/>
  <c r="AT20" i="2"/>
  <c r="AT21" i="2"/>
  <c r="AT22" i="2"/>
  <c r="AT23" i="2"/>
  <c r="AT24" i="2"/>
  <c r="AT25" i="2"/>
  <c r="AT27" i="2"/>
  <c r="AT4" i="4"/>
  <c r="AT30" i="2"/>
  <c r="AT31" i="2"/>
  <c r="AT32" i="2"/>
  <c r="AT33" i="2"/>
  <c r="AT34" i="2"/>
  <c r="AT35" i="2"/>
  <c r="AT36" i="2"/>
  <c r="AT37" i="2"/>
  <c r="AT38" i="2"/>
  <c r="AT39" i="2"/>
  <c r="AT41" i="2"/>
  <c r="AT6" i="4"/>
  <c r="AT44" i="2"/>
  <c r="AT45" i="2"/>
  <c r="AT46" i="2"/>
  <c r="AT47" i="2"/>
  <c r="AT48" i="2"/>
  <c r="AT49" i="2"/>
  <c r="AT50" i="2"/>
  <c r="AT51" i="2"/>
  <c r="AT52" i="2"/>
  <c r="AT53" i="2"/>
  <c r="AT55" i="2"/>
  <c r="AT7" i="4"/>
  <c r="AT58" i="2"/>
  <c r="AT59" i="2"/>
  <c r="AT60" i="2"/>
  <c r="AT61" i="2"/>
  <c r="AT62" i="2"/>
  <c r="AT63" i="2"/>
  <c r="AT64" i="2"/>
  <c r="AT65" i="2"/>
  <c r="AT66" i="2"/>
  <c r="AT67" i="2"/>
  <c r="AT69" i="2"/>
  <c r="AT8" i="4"/>
  <c r="AT9" i="4"/>
  <c r="AT11" i="4"/>
  <c r="AT12" i="4"/>
  <c r="AT18" i="4"/>
  <c r="AT21" i="4"/>
  <c r="AT23" i="4"/>
  <c r="AT26" i="4"/>
  <c r="AT28" i="4"/>
  <c r="P40" i="4"/>
  <c r="P4" i="6"/>
  <c r="P5" i="6"/>
  <c r="P32" i="4"/>
  <c r="Q6" i="5"/>
  <c r="P7" i="6"/>
  <c r="P34" i="4"/>
  <c r="Q7" i="5"/>
  <c r="P8" i="6"/>
  <c r="Q12" i="5"/>
  <c r="P10" i="6"/>
  <c r="Q20" i="5"/>
  <c r="P12" i="6"/>
  <c r="P15" i="6"/>
  <c r="P21" i="6"/>
  <c r="Q191" i="18"/>
  <c r="AU4" i="2"/>
  <c r="AU16" i="2"/>
  <c r="AU17" i="2"/>
  <c r="AU18" i="2"/>
  <c r="AU19" i="2"/>
  <c r="AU20" i="2"/>
  <c r="AU21" i="2"/>
  <c r="AU22" i="2"/>
  <c r="AU23" i="2"/>
  <c r="AU24" i="2"/>
  <c r="AU25" i="2"/>
  <c r="AU27" i="2"/>
  <c r="AU4" i="4"/>
  <c r="AU30" i="2"/>
  <c r="AU31" i="2"/>
  <c r="AU32" i="2"/>
  <c r="AU33" i="2"/>
  <c r="AU34" i="2"/>
  <c r="AU35" i="2"/>
  <c r="AU36" i="2"/>
  <c r="AU37" i="2"/>
  <c r="AU38" i="2"/>
  <c r="AU39" i="2"/>
  <c r="AU41" i="2"/>
  <c r="AU6" i="4"/>
  <c r="AU44" i="2"/>
  <c r="AU45" i="2"/>
  <c r="AU46" i="2"/>
  <c r="AU47" i="2"/>
  <c r="AU48" i="2"/>
  <c r="AU49" i="2"/>
  <c r="AU50" i="2"/>
  <c r="AU51" i="2"/>
  <c r="AU52" i="2"/>
  <c r="AU53" i="2"/>
  <c r="AU55" i="2"/>
  <c r="AU7" i="4"/>
  <c r="AU58" i="2"/>
  <c r="AU59" i="2"/>
  <c r="AU60" i="2"/>
  <c r="AU61" i="2"/>
  <c r="AU62" i="2"/>
  <c r="AU63" i="2"/>
  <c r="AU64" i="2"/>
  <c r="AU65" i="2"/>
  <c r="AU66" i="2"/>
  <c r="AU67" i="2"/>
  <c r="AU69" i="2"/>
  <c r="AU8" i="4"/>
  <c r="AU9" i="4"/>
  <c r="AU11" i="4"/>
  <c r="AU12" i="4"/>
  <c r="R25" i="5"/>
  <c r="AU18" i="4"/>
  <c r="AU21" i="4"/>
  <c r="AU23" i="4"/>
  <c r="AU26" i="4"/>
  <c r="AU28" i="4"/>
  <c r="AV4" i="2"/>
  <c r="AV16" i="2"/>
  <c r="AV17" i="2"/>
  <c r="AV18" i="2"/>
  <c r="AV19" i="2"/>
  <c r="AV20" i="2"/>
  <c r="AV21" i="2"/>
  <c r="AV22" i="2"/>
  <c r="AV23" i="2"/>
  <c r="AV24" i="2"/>
  <c r="AV25" i="2"/>
  <c r="AV27" i="2"/>
  <c r="AV4" i="4"/>
  <c r="AV30" i="2"/>
  <c r="AV31" i="2"/>
  <c r="AV32" i="2"/>
  <c r="AV33" i="2"/>
  <c r="AV34" i="2"/>
  <c r="AV35" i="2"/>
  <c r="AV36" i="2"/>
  <c r="AV37" i="2"/>
  <c r="AV38" i="2"/>
  <c r="AV39" i="2"/>
  <c r="AV41" i="2"/>
  <c r="AV6" i="4"/>
  <c r="AV44" i="2"/>
  <c r="AV45" i="2"/>
  <c r="AV46" i="2"/>
  <c r="AV47" i="2"/>
  <c r="AV48" i="2"/>
  <c r="AV49" i="2"/>
  <c r="AV50" i="2"/>
  <c r="AV51" i="2"/>
  <c r="AV52" i="2"/>
  <c r="AV53" i="2"/>
  <c r="AV55" i="2"/>
  <c r="AV7" i="4"/>
  <c r="AV58" i="2"/>
  <c r="AV59" i="2"/>
  <c r="AV60" i="2"/>
  <c r="AV61" i="2"/>
  <c r="AV62" i="2"/>
  <c r="AV63" i="2"/>
  <c r="AV64" i="2"/>
  <c r="AV65" i="2"/>
  <c r="AV66" i="2"/>
  <c r="AV67" i="2"/>
  <c r="AV69" i="2"/>
  <c r="AV8" i="4"/>
  <c r="AV9" i="4"/>
  <c r="AV11" i="4"/>
  <c r="AV12" i="4"/>
  <c r="AV18" i="4"/>
  <c r="AV21" i="4"/>
  <c r="AV23" i="4"/>
  <c r="AV26" i="4"/>
  <c r="AV28" i="4"/>
  <c r="AW4" i="2"/>
  <c r="AW16" i="2"/>
  <c r="AW17" i="2"/>
  <c r="AW18" i="2"/>
  <c r="AW19" i="2"/>
  <c r="AW20" i="2"/>
  <c r="AW21" i="2"/>
  <c r="AW22" i="2"/>
  <c r="AW23" i="2"/>
  <c r="AW24" i="2"/>
  <c r="AW25" i="2"/>
  <c r="AW27" i="2"/>
  <c r="AW4" i="4"/>
  <c r="AW30" i="2"/>
  <c r="AW31" i="2"/>
  <c r="AW32" i="2"/>
  <c r="AW33" i="2"/>
  <c r="AW34" i="2"/>
  <c r="AW35" i="2"/>
  <c r="AW36" i="2"/>
  <c r="AW37" i="2"/>
  <c r="AW38" i="2"/>
  <c r="AW39" i="2"/>
  <c r="AW41" i="2"/>
  <c r="AW6" i="4"/>
  <c r="AW44" i="2"/>
  <c r="AW45" i="2"/>
  <c r="AW46" i="2"/>
  <c r="AW47" i="2"/>
  <c r="AW48" i="2"/>
  <c r="AW49" i="2"/>
  <c r="AW50" i="2"/>
  <c r="AW51" i="2"/>
  <c r="AW52" i="2"/>
  <c r="AW53" i="2"/>
  <c r="AW55" i="2"/>
  <c r="AW7" i="4"/>
  <c r="AW58" i="2"/>
  <c r="AW59" i="2"/>
  <c r="AW60" i="2"/>
  <c r="AW61" i="2"/>
  <c r="AW62" i="2"/>
  <c r="AW63" i="2"/>
  <c r="AW64" i="2"/>
  <c r="AW65" i="2"/>
  <c r="AW66" i="2"/>
  <c r="AW67" i="2"/>
  <c r="AW69" i="2"/>
  <c r="AW8" i="4"/>
  <c r="AW9" i="4"/>
  <c r="AW11" i="4"/>
  <c r="AW12" i="4"/>
  <c r="AW18" i="4"/>
  <c r="AW21" i="4"/>
  <c r="AW23" i="4"/>
  <c r="AW26" i="4"/>
  <c r="AW28" i="4"/>
  <c r="Q40" i="4"/>
  <c r="Q4" i="6"/>
  <c r="Q5" i="6"/>
  <c r="Q32" i="4"/>
  <c r="R6" i="5"/>
  <c r="Q7" i="6"/>
  <c r="Q34" i="4"/>
  <c r="R7" i="5"/>
  <c r="Q8" i="6"/>
  <c r="R12" i="5"/>
  <c r="Q10" i="6"/>
  <c r="R20" i="5"/>
  <c r="Q12" i="6"/>
  <c r="Q15" i="6"/>
  <c r="Q21" i="6"/>
  <c r="R191" i="18"/>
  <c r="AX4" i="2"/>
  <c r="AX16" i="2"/>
  <c r="AX17" i="2"/>
  <c r="AX18" i="2"/>
  <c r="AX19" i="2"/>
  <c r="AX20" i="2"/>
  <c r="AX21" i="2"/>
  <c r="AX22" i="2"/>
  <c r="AX23" i="2"/>
  <c r="AX24" i="2"/>
  <c r="AX25" i="2"/>
  <c r="AX27" i="2"/>
  <c r="AX4" i="4"/>
  <c r="AX30" i="2"/>
  <c r="AX31" i="2"/>
  <c r="AX32" i="2"/>
  <c r="AX33" i="2"/>
  <c r="AX34" i="2"/>
  <c r="AX35" i="2"/>
  <c r="AX36" i="2"/>
  <c r="AX37" i="2"/>
  <c r="AX38" i="2"/>
  <c r="AX39" i="2"/>
  <c r="AX41" i="2"/>
  <c r="AX6" i="4"/>
  <c r="AX44" i="2"/>
  <c r="AX45" i="2"/>
  <c r="AX46" i="2"/>
  <c r="AX47" i="2"/>
  <c r="AX48" i="2"/>
  <c r="AX49" i="2"/>
  <c r="AX50" i="2"/>
  <c r="AX51" i="2"/>
  <c r="AX52" i="2"/>
  <c r="AX53" i="2"/>
  <c r="AX55" i="2"/>
  <c r="AX7" i="4"/>
  <c r="AX58" i="2"/>
  <c r="AX59" i="2"/>
  <c r="AX60" i="2"/>
  <c r="AX61" i="2"/>
  <c r="AX62" i="2"/>
  <c r="AX63" i="2"/>
  <c r="AX64" i="2"/>
  <c r="AX65" i="2"/>
  <c r="AX66" i="2"/>
  <c r="AX67" i="2"/>
  <c r="AX69" i="2"/>
  <c r="AX8" i="4"/>
  <c r="AX9" i="4"/>
  <c r="AX11" i="4"/>
  <c r="AX12" i="4"/>
  <c r="S25" i="5"/>
  <c r="AX18" i="4"/>
  <c r="AX21" i="4"/>
  <c r="AX23" i="4"/>
  <c r="AX26" i="4"/>
  <c r="AX28" i="4"/>
  <c r="AY4" i="2"/>
  <c r="AY16" i="2"/>
  <c r="AY17" i="2"/>
  <c r="AY18" i="2"/>
  <c r="AY19" i="2"/>
  <c r="AY20" i="2"/>
  <c r="AY21" i="2"/>
  <c r="AY22" i="2"/>
  <c r="AY23" i="2"/>
  <c r="AY24" i="2"/>
  <c r="AY25" i="2"/>
  <c r="AY27" i="2"/>
  <c r="AY4" i="4"/>
  <c r="AY30" i="2"/>
  <c r="AY31" i="2"/>
  <c r="AY32" i="2"/>
  <c r="AY33" i="2"/>
  <c r="AY34" i="2"/>
  <c r="AY35" i="2"/>
  <c r="AY36" i="2"/>
  <c r="AY37" i="2"/>
  <c r="AY38" i="2"/>
  <c r="AY39" i="2"/>
  <c r="AY41" i="2"/>
  <c r="AY6" i="4"/>
  <c r="AY44" i="2"/>
  <c r="AY45" i="2"/>
  <c r="AY46" i="2"/>
  <c r="AY47" i="2"/>
  <c r="AY48" i="2"/>
  <c r="AY49" i="2"/>
  <c r="AY50" i="2"/>
  <c r="AY51" i="2"/>
  <c r="AY52" i="2"/>
  <c r="AY53" i="2"/>
  <c r="AY55" i="2"/>
  <c r="AY7" i="4"/>
  <c r="AY58" i="2"/>
  <c r="AY59" i="2"/>
  <c r="AY60" i="2"/>
  <c r="AY61" i="2"/>
  <c r="AY62" i="2"/>
  <c r="AY63" i="2"/>
  <c r="AY64" i="2"/>
  <c r="AY65" i="2"/>
  <c r="AY66" i="2"/>
  <c r="AY67" i="2"/>
  <c r="AY69" i="2"/>
  <c r="AY8" i="4"/>
  <c r="AY9" i="4"/>
  <c r="AY11" i="4"/>
  <c r="AY12" i="4"/>
  <c r="AY18" i="4"/>
  <c r="AY21" i="4"/>
  <c r="AY23" i="4"/>
  <c r="AY26" i="4"/>
  <c r="AY28" i="4"/>
  <c r="AZ4" i="2"/>
  <c r="AZ16" i="2"/>
  <c r="AZ17" i="2"/>
  <c r="AZ18" i="2"/>
  <c r="AZ19" i="2"/>
  <c r="AZ20" i="2"/>
  <c r="AZ21" i="2"/>
  <c r="AZ22" i="2"/>
  <c r="AZ23" i="2"/>
  <c r="AZ24" i="2"/>
  <c r="AZ25" i="2"/>
  <c r="AZ27" i="2"/>
  <c r="AZ4" i="4"/>
  <c r="AZ30" i="2"/>
  <c r="AZ31" i="2"/>
  <c r="AZ32" i="2"/>
  <c r="AZ33" i="2"/>
  <c r="AZ34" i="2"/>
  <c r="AZ35" i="2"/>
  <c r="AZ36" i="2"/>
  <c r="AZ37" i="2"/>
  <c r="AZ38" i="2"/>
  <c r="AZ39" i="2"/>
  <c r="AZ41" i="2"/>
  <c r="AZ6" i="4"/>
  <c r="AZ44" i="2"/>
  <c r="AZ45" i="2"/>
  <c r="AZ46" i="2"/>
  <c r="AZ47" i="2"/>
  <c r="AZ48" i="2"/>
  <c r="AZ49" i="2"/>
  <c r="AZ50" i="2"/>
  <c r="AZ51" i="2"/>
  <c r="AZ52" i="2"/>
  <c r="AZ53" i="2"/>
  <c r="AZ55" i="2"/>
  <c r="AZ7" i="4"/>
  <c r="AZ58" i="2"/>
  <c r="AZ59" i="2"/>
  <c r="AZ60" i="2"/>
  <c r="AZ61" i="2"/>
  <c r="AZ62" i="2"/>
  <c r="AZ63" i="2"/>
  <c r="AZ64" i="2"/>
  <c r="AZ65" i="2"/>
  <c r="AZ66" i="2"/>
  <c r="AZ67" i="2"/>
  <c r="AZ69" i="2"/>
  <c r="AZ8" i="4"/>
  <c r="AZ9" i="4"/>
  <c r="AZ11" i="4"/>
  <c r="AZ12" i="4"/>
  <c r="AZ18" i="4"/>
  <c r="AZ21" i="4"/>
  <c r="AZ23" i="4"/>
  <c r="AZ26" i="4"/>
  <c r="AZ28" i="4"/>
  <c r="R40" i="4"/>
  <c r="R4" i="6"/>
  <c r="R5" i="6"/>
  <c r="R32" i="4"/>
  <c r="S6" i="5"/>
  <c r="R7" i="6"/>
  <c r="R34" i="4"/>
  <c r="S7" i="5"/>
  <c r="R8" i="6"/>
  <c r="S12" i="5"/>
  <c r="R10" i="6"/>
  <c r="S20" i="5"/>
  <c r="R12" i="6"/>
  <c r="R15" i="6"/>
  <c r="R21" i="6"/>
  <c r="S191" i="18"/>
  <c r="BA4" i="2"/>
  <c r="BA16" i="2"/>
  <c r="BA17" i="2"/>
  <c r="BA18" i="2"/>
  <c r="BA19" i="2"/>
  <c r="BA20" i="2"/>
  <c r="BA21" i="2"/>
  <c r="BA22" i="2"/>
  <c r="BA23" i="2"/>
  <c r="BA24" i="2"/>
  <c r="BA25" i="2"/>
  <c r="BA27" i="2"/>
  <c r="BA4" i="4"/>
  <c r="BA30" i="2"/>
  <c r="BA31" i="2"/>
  <c r="BA32" i="2"/>
  <c r="BA33" i="2"/>
  <c r="BA34" i="2"/>
  <c r="BA35" i="2"/>
  <c r="BA36" i="2"/>
  <c r="BA37" i="2"/>
  <c r="BA38" i="2"/>
  <c r="BA39" i="2"/>
  <c r="BA41" i="2"/>
  <c r="BA6" i="4"/>
  <c r="BA44" i="2"/>
  <c r="BA45" i="2"/>
  <c r="BA46" i="2"/>
  <c r="BA47" i="2"/>
  <c r="BA48" i="2"/>
  <c r="BA49" i="2"/>
  <c r="BA50" i="2"/>
  <c r="BA51" i="2"/>
  <c r="BA52" i="2"/>
  <c r="BA53" i="2"/>
  <c r="BA55" i="2"/>
  <c r="BA7" i="4"/>
  <c r="BA58" i="2"/>
  <c r="BA59" i="2"/>
  <c r="BA60" i="2"/>
  <c r="BA61" i="2"/>
  <c r="BA62" i="2"/>
  <c r="BA63" i="2"/>
  <c r="BA64" i="2"/>
  <c r="BA65" i="2"/>
  <c r="BA66" i="2"/>
  <c r="BA67" i="2"/>
  <c r="BA69" i="2"/>
  <c r="BA8" i="4"/>
  <c r="BA9" i="4"/>
  <c r="BA11" i="4"/>
  <c r="BA12" i="4"/>
  <c r="T25" i="5"/>
  <c r="BA18" i="4"/>
  <c r="BA21" i="4"/>
  <c r="BA23" i="4"/>
  <c r="BA26" i="4"/>
  <c r="BA28" i="4"/>
  <c r="BB4" i="2"/>
  <c r="BB16" i="2"/>
  <c r="BB17" i="2"/>
  <c r="BB18" i="2"/>
  <c r="BB19" i="2"/>
  <c r="BB20" i="2"/>
  <c r="BB21" i="2"/>
  <c r="BB22" i="2"/>
  <c r="BB23" i="2"/>
  <c r="BB24" i="2"/>
  <c r="BB25" i="2"/>
  <c r="BB27" i="2"/>
  <c r="BB4" i="4"/>
  <c r="BB30" i="2"/>
  <c r="BB31" i="2"/>
  <c r="BB32" i="2"/>
  <c r="BB33" i="2"/>
  <c r="BB34" i="2"/>
  <c r="BB35" i="2"/>
  <c r="BB36" i="2"/>
  <c r="BB37" i="2"/>
  <c r="BB38" i="2"/>
  <c r="BB39" i="2"/>
  <c r="BB41" i="2"/>
  <c r="BB6" i="4"/>
  <c r="BB44" i="2"/>
  <c r="BB45" i="2"/>
  <c r="BB46" i="2"/>
  <c r="BB47" i="2"/>
  <c r="BB48" i="2"/>
  <c r="BB49" i="2"/>
  <c r="BB50" i="2"/>
  <c r="BB51" i="2"/>
  <c r="BB52" i="2"/>
  <c r="BB53" i="2"/>
  <c r="BB55" i="2"/>
  <c r="BB7" i="4"/>
  <c r="BB58" i="2"/>
  <c r="BB59" i="2"/>
  <c r="BB60" i="2"/>
  <c r="BB61" i="2"/>
  <c r="BB62" i="2"/>
  <c r="BB63" i="2"/>
  <c r="BB64" i="2"/>
  <c r="BB65" i="2"/>
  <c r="BB66" i="2"/>
  <c r="BB67" i="2"/>
  <c r="BB69" i="2"/>
  <c r="BB8" i="4"/>
  <c r="BB9" i="4"/>
  <c r="BB11" i="4"/>
  <c r="BB12" i="4"/>
  <c r="BB18" i="4"/>
  <c r="BB21" i="4"/>
  <c r="BB23" i="4"/>
  <c r="BB26" i="4"/>
  <c r="BB28" i="4"/>
  <c r="BC4" i="2"/>
  <c r="BC16" i="2"/>
  <c r="BC17" i="2"/>
  <c r="BC18" i="2"/>
  <c r="BC19" i="2"/>
  <c r="BC20" i="2"/>
  <c r="BC21" i="2"/>
  <c r="BC22" i="2"/>
  <c r="BC23" i="2"/>
  <c r="BC24" i="2"/>
  <c r="BC25" i="2"/>
  <c r="BC27" i="2"/>
  <c r="BC4" i="4"/>
  <c r="BC30" i="2"/>
  <c r="BC31" i="2"/>
  <c r="BC32" i="2"/>
  <c r="BC33" i="2"/>
  <c r="BC34" i="2"/>
  <c r="BC35" i="2"/>
  <c r="BC36" i="2"/>
  <c r="BC37" i="2"/>
  <c r="BC38" i="2"/>
  <c r="BC39" i="2"/>
  <c r="BC41" i="2"/>
  <c r="BC6" i="4"/>
  <c r="BC44" i="2"/>
  <c r="BC45" i="2"/>
  <c r="BC46" i="2"/>
  <c r="BC47" i="2"/>
  <c r="BC48" i="2"/>
  <c r="BC49" i="2"/>
  <c r="BC50" i="2"/>
  <c r="BC51" i="2"/>
  <c r="BC52" i="2"/>
  <c r="BC53" i="2"/>
  <c r="BC55" i="2"/>
  <c r="BC7" i="4"/>
  <c r="BC58" i="2"/>
  <c r="BC59" i="2"/>
  <c r="BC60" i="2"/>
  <c r="BC61" i="2"/>
  <c r="BC62" i="2"/>
  <c r="BC63" i="2"/>
  <c r="BC64" i="2"/>
  <c r="BC65" i="2"/>
  <c r="BC66" i="2"/>
  <c r="BC67" i="2"/>
  <c r="BC69" i="2"/>
  <c r="BC8" i="4"/>
  <c r="BC9" i="4"/>
  <c r="BC11" i="4"/>
  <c r="BC12" i="4"/>
  <c r="BC18" i="4"/>
  <c r="BC21" i="4"/>
  <c r="BC23" i="4"/>
  <c r="BC26" i="4"/>
  <c r="BC28" i="4"/>
  <c r="S40" i="4"/>
  <c r="S4" i="6"/>
  <c r="S5" i="6"/>
  <c r="S32" i="4"/>
  <c r="T6" i="5"/>
  <c r="S7" i="6"/>
  <c r="S34" i="4"/>
  <c r="T7" i="5"/>
  <c r="S8" i="6"/>
  <c r="T12" i="5"/>
  <c r="S10" i="6"/>
  <c r="T20" i="5"/>
  <c r="S12" i="6"/>
  <c r="S15" i="6"/>
  <c r="S21" i="6"/>
  <c r="T191" i="18"/>
  <c r="BD4" i="2"/>
  <c r="BD16" i="2"/>
  <c r="BD17" i="2"/>
  <c r="BD18" i="2"/>
  <c r="BD19" i="2"/>
  <c r="BD20" i="2"/>
  <c r="BD21" i="2"/>
  <c r="BD22" i="2"/>
  <c r="BD23" i="2"/>
  <c r="BD24" i="2"/>
  <c r="BD25" i="2"/>
  <c r="BD27" i="2"/>
  <c r="BD4" i="4"/>
  <c r="BD30" i="2"/>
  <c r="BD31" i="2"/>
  <c r="BD32" i="2"/>
  <c r="BD33" i="2"/>
  <c r="BD34" i="2"/>
  <c r="BD35" i="2"/>
  <c r="BD36" i="2"/>
  <c r="BD37" i="2"/>
  <c r="BD38" i="2"/>
  <c r="BD39" i="2"/>
  <c r="BD41" i="2"/>
  <c r="BD6" i="4"/>
  <c r="BD44" i="2"/>
  <c r="BD45" i="2"/>
  <c r="BD46" i="2"/>
  <c r="BD47" i="2"/>
  <c r="BD48" i="2"/>
  <c r="BD49" i="2"/>
  <c r="BD50" i="2"/>
  <c r="BD51" i="2"/>
  <c r="BD52" i="2"/>
  <c r="BD53" i="2"/>
  <c r="BD55" i="2"/>
  <c r="BD7" i="4"/>
  <c r="BD58" i="2"/>
  <c r="BD59" i="2"/>
  <c r="BD60" i="2"/>
  <c r="BD61" i="2"/>
  <c r="BD62" i="2"/>
  <c r="BD63" i="2"/>
  <c r="BD64" i="2"/>
  <c r="BD65" i="2"/>
  <c r="BD66" i="2"/>
  <c r="BD67" i="2"/>
  <c r="BD69" i="2"/>
  <c r="BD8" i="4"/>
  <c r="BD9" i="4"/>
  <c r="BD11" i="4"/>
  <c r="BD12" i="4"/>
  <c r="U25" i="5"/>
  <c r="BD18" i="4"/>
  <c r="BD21" i="4"/>
  <c r="BD23" i="4"/>
  <c r="BD26" i="4"/>
  <c r="BD28" i="4"/>
  <c r="BE4" i="2"/>
  <c r="BE16" i="2"/>
  <c r="BE17" i="2"/>
  <c r="BE18" i="2"/>
  <c r="BE19" i="2"/>
  <c r="BE20" i="2"/>
  <c r="BE21" i="2"/>
  <c r="BE22" i="2"/>
  <c r="BE23" i="2"/>
  <c r="BE24" i="2"/>
  <c r="BE25" i="2"/>
  <c r="BE27" i="2"/>
  <c r="BE4" i="4"/>
  <c r="BE30" i="2"/>
  <c r="BE31" i="2"/>
  <c r="BE32" i="2"/>
  <c r="BE33" i="2"/>
  <c r="BE34" i="2"/>
  <c r="BE35" i="2"/>
  <c r="BE36" i="2"/>
  <c r="BE37" i="2"/>
  <c r="BE38" i="2"/>
  <c r="BE39" i="2"/>
  <c r="BE41" i="2"/>
  <c r="BE6" i="4"/>
  <c r="BE44" i="2"/>
  <c r="BE45" i="2"/>
  <c r="BE46" i="2"/>
  <c r="BE47" i="2"/>
  <c r="BE48" i="2"/>
  <c r="BE49" i="2"/>
  <c r="BE50" i="2"/>
  <c r="BE51" i="2"/>
  <c r="BE52" i="2"/>
  <c r="BE53" i="2"/>
  <c r="BE55" i="2"/>
  <c r="BE7" i="4"/>
  <c r="BE58" i="2"/>
  <c r="BE59" i="2"/>
  <c r="BE60" i="2"/>
  <c r="BE61" i="2"/>
  <c r="BE62" i="2"/>
  <c r="BE63" i="2"/>
  <c r="BE64" i="2"/>
  <c r="BE65" i="2"/>
  <c r="BE66" i="2"/>
  <c r="BE67" i="2"/>
  <c r="BE69" i="2"/>
  <c r="BE8" i="4"/>
  <c r="BE9" i="4"/>
  <c r="BE11" i="4"/>
  <c r="BE12" i="4"/>
  <c r="BE18" i="4"/>
  <c r="BE21" i="4"/>
  <c r="BE23" i="4"/>
  <c r="BE26" i="4"/>
  <c r="BE28" i="4"/>
  <c r="BF4" i="2"/>
  <c r="BF16" i="2"/>
  <c r="BF17" i="2"/>
  <c r="BF18" i="2"/>
  <c r="BF19" i="2"/>
  <c r="BF20" i="2"/>
  <c r="BF21" i="2"/>
  <c r="BF22" i="2"/>
  <c r="BF23" i="2"/>
  <c r="BF24" i="2"/>
  <c r="BF25" i="2"/>
  <c r="BF27" i="2"/>
  <c r="BF4" i="4"/>
  <c r="BF30" i="2"/>
  <c r="BF31" i="2"/>
  <c r="BF32" i="2"/>
  <c r="BF33" i="2"/>
  <c r="BF34" i="2"/>
  <c r="BF35" i="2"/>
  <c r="BF36" i="2"/>
  <c r="BF37" i="2"/>
  <c r="BF38" i="2"/>
  <c r="BF39" i="2"/>
  <c r="BF41" i="2"/>
  <c r="BF6" i="4"/>
  <c r="BF44" i="2"/>
  <c r="BF45" i="2"/>
  <c r="BF46" i="2"/>
  <c r="BF47" i="2"/>
  <c r="BF48" i="2"/>
  <c r="BF49" i="2"/>
  <c r="BF50" i="2"/>
  <c r="BF51" i="2"/>
  <c r="BF52" i="2"/>
  <c r="BF53" i="2"/>
  <c r="BF55" i="2"/>
  <c r="BF7" i="4"/>
  <c r="BF58" i="2"/>
  <c r="BF59" i="2"/>
  <c r="BF60" i="2"/>
  <c r="BF61" i="2"/>
  <c r="BF62" i="2"/>
  <c r="BF63" i="2"/>
  <c r="BF64" i="2"/>
  <c r="BF65" i="2"/>
  <c r="BF66" i="2"/>
  <c r="BF67" i="2"/>
  <c r="BF69" i="2"/>
  <c r="BF8" i="4"/>
  <c r="BF9" i="4"/>
  <c r="BF11" i="4"/>
  <c r="BF12" i="4"/>
  <c r="BF18" i="4"/>
  <c r="BF21" i="4"/>
  <c r="BF23" i="4"/>
  <c r="BF26" i="4"/>
  <c r="BF28" i="4"/>
  <c r="T40" i="4"/>
  <c r="T4" i="6"/>
  <c r="T5" i="6"/>
  <c r="T32" i="4"/>
  <c r="U6" i="5"/>
  <c r="T7" i="6"/>
  <c r="T34" i="4"/>
  <c r="U7" i="5"/>
  <c r="T8" i="6"/>
  <c r="U12" i="5"/>
  <c r="T10" i="6"/>
  <c r="U20" i="5"/>
  <c r="T12" i="6"/>
  <c r="T15" i="6"/>
  <c r="T21" i="6"/>
  <c r="U191" i="18"/>
  <c r="BG4" i="2"/>
  <c r="BG16" i="2"/>
  <c r="BG17" i="2"/>
  <c r="BG18" i="2"/>
  <c r="BG19" i="2"/>
  <c r="BG20" i="2"/>
  <c r="BG21" i="2"/>
  <c r="BG22" i="2"/>
  <c r="BG23" i="2"/>
  <c r="BG24" i="2"/>
  <c r="BG25" i="2"/>
  <c r="BG27" i="2"/>
  <c r="BG4" i="4"/>
  <c r="BG30" i="2"/>
  <c r="BG31" i="2"/>
  <c r="BG32" i="2"/>
  <c r="BG33" i="2"/>
  <c r="BG34" i="2"/>
  <c r="BG35" i="2"/>
  <c r="BG36" i="2"/>
  <c r="BG37" i="2"/>
  <c r="BG38" i="2"/>
  <c r="BG39" i="2"/>
  <c r="BG41" i="2"/>
  <c r="BG6" i="4"/>
  <c r="BG44" i="2"/>
  <c r="BG45" i="2"/>
  <c r="BG46" i="2"/>
  <c r="BG47" i="2"/>
  <c r="BG48" i="2"/>
  <c r="BG49" i="2"/>
  <c r="BG50" i="2"/>
  <c r="BG51" i="2"/>
  <c r="BG52" i="2"/>
  <c r="BG53" i="2"/>
  <c r="BG55" i="2"/>
  <c r="BG7" i="4"/>
  <c r="BG58" i="2"/>
  <c r="BG59" i="2"/>
  <c r="BG60" i="2"/>
  <c r="BG61" i="2"/>
  <c r="BG62" i="2"/>
  <c r="BG63" i="2"/>
  <c r="BG64" i="2"/>
  <c r="BG65" i="2"/>
  <c r="BG66" i="2"/>
  <c r="BG67" i="2"/>
  <c r="BG69" i="2"/>
  <c r="BG8" i="4"/>
  <c r="BG9" i="4"/>
  <c r="BG11" i="4"/>
  <c r="BG12" i="4"/>
  <c r="V25" i="5"/>
  <c r="BG18" i="4"/>
  <c r="BG21" i="4"/>
  <c r="BG23" i="4"/>
  <c r="BG26" i="4"/>
  <c r="BG28" i="4"/>
  <c r="BH4" i="2"/>
  <c r="BH16" i="2"/>
  <c r="BH17" i="2"/>
  <c r="BH18" i="2"/>
  <c r="BH19" i="2"/>
  <c r="BH20" i="2"/>
  <c r="BH21" i="2"/>
  <c r="BH22" i="2"/>
  <c r="BH23" i="2"/>
  <c r="BH24" i="2"/>
  <c r="BH25" i="2"/>
  <c r="BH27" i="2"/>
  <c r="BH4" i="4"/>
  <c r="BH30" i="2"/>
  <c r="BH31" i="2"/>
  <c r="BH32" i="2"/>
  <c r="BH33" i="2"/>
  <c r="BH34" i="2"/>
  <c r="BH35" i="2"/>
  <c r="BH36" i="2"/>
  <c r="BH37" i="2"/>
  <c r="BH38" i="2"/>
  <c r="BH39" i="2"/>
  <c r="BH41" i="2"/>
  <c r="BH6" i="4"/>
  <c r="BH44" i="2"/>
  <c r="BH45" i="2"/>
  <c r="BH46" i="2"/>
  <c r="BH47" i="2"/>
  <c r="BH48" i="2"/>
  <c r="BH49" i="2"/>
  <c r="BH50" i="2"/>
  <c r="BH51" i="2"/>
  <c r="BH52" i="2"/>
  <c r="BH53" i="2"/>
  <c r="BH55" i="2"/>
  <c r="BH7" i="4"/>
  <c r="BH58" i="2"/>
  <c r="BH59" i="2"/>
  <c r="BH60" i="2"/>
  <c r="BH61" i="2"/>
  <c r="BH62" i="2"/>
  <c r="BH63" i="2"/>
  <c r="BH64" i="2"/>
  <c r="BH65" i="2"/>
  <c r="BH66" i="2"/>
  <c r="BH67" i="2"/>
  <c r="BH69" i="2"/>
  <c r="BH8" i="4"/>
  <c r="BH9" i="4"/>
  <c r="BH11" i="4"/>
  <c r="BH12" i="4"/>
  <c r="BH18" i="4"/>
  <c r="BH21" i="4"/>
  <c r="BH23" i="4"/>
  <c r="BH26" i="4"/>
  <c r="BH28" i="4"/>
  <c r="BI4" i="2"/>
  <c r="BI16" i="2"/>
  <c r="BI17" i="2"/>
  <c r="BI18" i="2"/>
  <c r="BI19" i="2"/>
  <c r="BI20" i="2"/>
  <c r="BI21" i="2"/>
  <c r="BI22" i="2"/>
  <c r="BI23" i="2"/>
  <c r="BI24" i="2"/>
  <c r="BI25" i="2"/>
  <c r="BI27" i="2"/>
  <c r="BI4" i="4"/>
  <c r="BI30" i="2"/>
  <c r="BI31" i="2"/>
  <c r="BI32" i="2"/>
  <c r="BI33" i="2"/>
  <c r="BI34" i="2"/>
  <c r="BI35" i="2"/>
  <c r="BI36" i="2"/>
  <c r="BI37" i="2"/>
  <c r="BI38" i="2"/>
  <c r="BI39" i="2"/>
  <c r="BI41" i="2"/>
  <c r="BI6" i="4"/>
  <c r="BI44" i="2"/>
  <c r="BI45" i="2"/>
  <c r="BI46" i="2"/>
  <c r="BI47" i="2"/>
  <c r="BI48" i="2"/>
  <c r="BI49" i="2"/>
  <c r="BI50" i="2"/>
  <c r="BI51" i="2"/>
  <c r="BI52" i="2"/>
  <c r="BI53" i="2"/>
  <c r="BI55" i="2"/>
  <c r="BI7" i="4"/>
  <c r="BI58" i="2"/>
  <c r="BI59" i="2"/>
  <c r="BI60" i="2"/>
  <c r="BI61" i="2"/>
  <c r="BI62" i="2"/>
  <c r="BI63" i="2"/>
  <c r="BI64" i="2"/>
  <c r="BI65" i="2"/>
  <c r="BI66" i="2"/>
  <c r="BI67" i="2"/>
  <c r="BI69" i="2"/>
  <c r="BI8" i="4"/>
  <c r="BI9" i="4"/>
  <c r="BI11" i="4"/>
  <c r="BI12" i="4"/>
  <c r="BI18" i="4"/>
  <c r="BI21" i="4"/>
  <c r="BI23" i="4"/>
  <c r="BI26" i="4"/>
  <c r="BI28" i="4"/>
  <c r="U40" i="4"/>
  <c r="U4" i="6"/>
  <c r="U5" i="6"/>
  <c r="U32" i="4"/>
  <c r="V6" i="5"/>
  <c r="U7" i="6"/>
  <c r="U34" i="4"/>
  <c r="V7" i="5"/>
  <c r="U8" i="6"/>
  <c r="V12" i="5"/>
  <c r="U10" i="6"/>
  <c r="V20" i="5"/>
  <c r="U12" i="6"/>
  <c r="U15" i="6"/>
  <c r="U21" i="6"/>
  <c r="V191" i="18"/>
  <c r="D192" i="18"/>
  <c r="E192" i="18"/>
  <c r="F192" i="18"/>
  <c r="G192" i="18"/>
  <c r="H192" i="18"/>
  <c r="I192" i="18"/>
  <c r="J192" i="18"/>
  <c r="K192" i="18"/>
  <c r="L192" i="18"/>
  <c r="M192" i="18"/>
  <c r="N192" i="18"/>
  <c r="O192" i="18"/>
  <c r="P192" i="18"/>
  <c r="Q192" i="18"/>
  <c r="R192" i="18"/>
  <c r="S192" i="18"/>
  <c r="T192" i="18"/>
  <c r="U192" i="18"/>
  <c r="V192" i="18"/>
  <c r="C190" i="18"/>
  <c r="D190" i="18"/>
  <c r="E190" i="18"/>
  <c r="F190" i="18"/>
  <c r="G190" i="18"/>
  <c r="H190" i="18"/>
  <c r="I190" i="18"/>
  <c r="J190" i="18"/>
  <c r="K190" i="18"/>
  <c r="L190" i="18"/>
  <c r="M190" i="18"/>
  <c r="N190" i="18"/>
  <c r="O190" i="18"/>
  <c r="P190" i="18"/>
  <c r="Q190" i="18"/>
  <c r="R190" i="18"/>
  <c r="S190" i="18"/>
  <c r="T190" i="18"/>
  <c r="U190" i="18"/>
  <c r="V190" i="18"/>
  <c r="G31" i="18"/>
  <c r="F31" i="18"/>
  <c r="E31" i="18"/>
  <c r="D31" i="18"/>
  <c r="C34" i="18"/>
  <c r="C35" i="18"/>
  <c r="C33" i="18"/>
  <c r="E189" i="18"/>
  <c r="C21" i="1"/>
  <c r="D34" i="18"/>
  <c r="E34" i="18"/>
  <c r="F34" i="18"/>
  <c r="G34" i="18"/>
  <c r="D35" i="18"/>
  <c r="E35" i="18"/>
  <c r="F35" i="18"/>
  <c r="G35" i="18"/>
  <c r="G33" i="18"/>
  <c r="F33" i="18"/>
  <c r="E33" i="18"/>
  <c r="D33" i="18"/>
  <c r="J19" i="18"/>
  <c r="C196" i="18"/>
  <c r="D196" i="18"/>
  <c r="E196" i="18"/>
  <c r="F196" i="18"/>
  <c r="G196" i="18"/>
  <c r="H196" i="18"/>
  <c r="I196" i="18"/>
  <c r="J196" i="18"/>
  <c r="K196" i="18"/>
  <c r="B22" i="6"/>
  <c r="C22" i="6"/>
  <c r="D22" i="6"/>
  <c r="E22" i="6"/>
  <c r="F22" i="6"/>
  <c r="G22" i="6"/>
  <c r="H22" i="6"/>
  <c r="I22" i="6"/>
  <c r="J195" i="18"/>
  <c r="J22" i="6"/>
  <c r="K195" i="18"/>
  <c r="D194" i="18"/>
  <c r="E194" i="18"/>
  <c r="F194" i="18"/>
  <c r="G194" i="18"/>
  <c r="H194" i="18"/>
  <c r="I194" i="18"/>
  <c r="J194" i="18"/>
  <c r="K194" i="18"/>
  <c r="C26" i="18"/>
  <c r="C28" i="18"/>
  <c r="D28" i="18"/>
  <c r="D37" i="18"/>
  <c r="E28" i="18"/>
  <c r="E37" i="18"/>
  <c r="F28" i="18"/>
  <c r="F37" i="18"/>
  <c r="G28" i="18"/>
  <c r="G37" i="18"/>
  <c r="C29" i="18"/>
  <c r="D29" i="18"/>
  <c r="E29" i="18"/>
  <c r="F29" i="18"/>
  <c r="G29" i="18"/>
  <c r="G27" i="18"/>
  <c r="I28" i="18"/>
  <c r="I29" i="18"/>
  <c r="C27" i="18"/>
  <c r="D27" i="18"/>
  <c r="E27" i="18"/>
  <c r="F27" i="18"/>
  <c r="I27" i="18"/>
  <c r="G2" i="18"/>
  <c r="C195" i="18"/>
  <c r="D195" i="18"/>
  <c r="E195" i="18"/>
  <c r="F195" i="18"/>
  <c r="G195" i="18"/>
  <c r="H195" i="18"/>
  <c r="I195" i="18"/>
  <c r="K22" i="6"/>
  <c r="L195" i="18"/>
  <c r="L22" i="6"/>
  <c r="M195" i="18"/>
  <c r="M22" i="6"/>
  <c r="N195" i="18"/>
  <c r="N22" i="6"/>
  <c r="O195" i="18"/>
  <c r="O22" i="6"/>
  <c r="P195" i="18"/>
  <c r="P22" i="6"/>
  <c r="Q195" i="18"/>
  <c r="Q22" i="6"/>
  <c r="R195" i="18"/>
  <c r="R22" i="6"/>
  <c r="S195" i="18"/>
  <c r="S22" i="6"/>
  <c r="T195" i="18"/>
  <c r="T22" i="6"/>
  <c r="U195" i="18"/>
  <c r="U22" i="6"/>
  <c r="V195" i="18"/>
  <c r="L194" i="18"/>
  <c r="M194" i="18"/>
  <c r="N194" i="18"/>
  <c r="O194" i="18"/>
  <c r="P194" i="18"/>
  <c r="Q194" i="18"/>
  <c r="R194" i="18"/>
  <c r="S194" i="18"/>
  <c r="T194" i="18"/>
  <c r="U194" i="18"/>
  <c r="V194" i="18"/>
  <c r="L196" i="18"/>
  <c r="M196" i="18"/>
  <c r="N196" i="18"/>
  <c r="O196" i="18"/>
  <c r="P196" i="18"/>
  <c r="Q196" i="18"/>
  <c r="R196" i="18"/>
  <c r="S196" i="18"/>
  <c r="T196" i="18"/>
  <c r="U196" i="18"/>
  <c r="V196" i="18"/>
  <c r="B2" i="6"/>
  <c r="F2" i="6"/>
  <c r="F3" i="6"/>
  <c r="G3" i="6"/>
  <c r="H3" i="6"/>
  <c r="I3" i="6"/>
  <c r="J2" i="6"/>
  <c r="J3" i="6"/>
  <c r="K3" i="6"/>
  <c r="L3" i="6"/>
  <c r="M3" i="6"/>
  <c r="N2" i="6"/>
  <c r="N3" i="6"/>
  <c r="O3" i="6"/>
  <c r="P3" i="6"/>
  <c r="Q3" i="6"/>
  <c r="R2" i="6"/>
  <c r="R3" i="6"/>
  <c r="S3" i="6"/>
  <c r="T3" i="6"/>
  <c r="U3" i="6"/>
  <c r="E3" i="6"/>
  <c r="D3" i="6"/>
  <c r="C3" i="6"/>
  <c r="B3" i="6"/>
  <c r="O4" i="13"/>
  <c r="P9" i="13"/>
  <c r="P12" i="13"/>
  <c r="P14" i="13"/>
  <c r="P16" i="13"/>
  <c r="P18" i="13"/>
  <c r="P29" i="13"/>
  <c r="P31" i="13"/>
  <c r="B33" i="18"/>
  <c r="D26" i="18"/>
  <c r="E26" i="18"/>
  <c r="F26" i="18"/>
  <c r="G26" i="18"/>
  <c r="J8" i="18"/>
  <c r="J14" i="18"/>
  <c r="J10" i="18"/>
  <c r="F33" i="13"/>
  <c r="O5" i="13"/>
  <c r="D42" i="13"/>
  <c r="S46" i="13"/>
  <c r="R46" i="13"/>
  <c r="Q42" i="13"/>
  <c r="Q46" i="13"/>
  <c r="P42" i="13"/>
  <c r="P46" i="13"/>
  <c r="O42" i="13"/>
  <c r="O46" i="13"/>
  <c r="N42" i="13"/>
  <c r="N46" i="13"/>
  <c r="M42" i="13"/>
  <c r="M46" i="13"/>
  <c r="L42" i="13"/>
  <c r="L46" i="13"/>
  <c r="K42" i="13"/>
  <c r="K46" i="13"/>
  <c r="J42" i="13"/>
  <c r="J46" i="13"/>
  <c r="I42" i="13"/>
  <c r="I46" i="13"/>
  <c r="H42" i="13"/>
  <c r="H46" i="13"/>
  <c r="G42" i="13"/>
  <c r="G46" i="13"/>
  <c r="F42" i="13"/>
  <c r="F46" i="13"/>
  <c r="E42" i="13"/>
  <c r="E46" i="13"/>
  <c r="D46" i="13"/>
  <c r="D45" i="13"/>
  <c r="E45" i="13"/>
  <c r="F45" i="13"/>
  <c r="G45" i="13"/>
  <c r="H45" i="13"/>
  <c r="I45" i="13"/>
  <c r="J45" i="13"/>
  <c r="K45" i="13"/>
  <c r="M45" i="13"/>
  <c r="N45" i="13"/>
  <c r="O45" i="13"/>
  <c r="P45" i="13"/>
  <c r="Q45" i="13"/>
  <c r="R45" i="13"/>
  <c r="S45" i="13"/>
  <c r="L45" i="13"/>
  <c r="S44" i="13"/>
  <c r="R44" i="13"/>
  <c r="Q44" i="13"/>
  <c r="P44" i="13"/>
  <c r="O44" i="13"/>
  <c r="N44" i="13"/>
  <c r="M44" i="13"/>
  <c r="L44" i="13"/>
  <c r="K44" i="13"/>
  <c r="J44" i="13"/>
  <c r="I44" i="13"/>
  <c r="H44" i="13"/>
  <c r="G44" i="13"/>
  <c r="F44" i="13"/>
  <c r="E44" i="13"/>
  <c r="D44" i="13"/>
  <c r="H33" i="13"/>
  <c r="P32" i="13"/>
  <c r="O18" i="13"/>
  <c r="F21" i="12"/>
  <c r="C21" i="12"/>
  <c r="C13" i="5"/>
  <c r="D13" i="5"/>
  <c r="E13" i="5"/>
  <c r="F13" i="5"/>
  <c r="G13" i="5"/>
  <c r="H13" i="5"/>
  <c r="I13" i="5"/>
  <c r="J13" i="5"/>
  <c r="K13" i="5"/>
  <c r="L13" i="5"/>
  <c r="M13" i="5"/>
  <c r="N13" i="5"/>
  <c r="O13" i="5"/>
  <c r="P13" i="5"/>
  <c r="Q13" i="5"/>
  <c r="R13" i="5"/>
  <c r="S13" i="5"/>
  <c r="T13" i="5"/>
  <c r="U13" i="5"/>
  <c r="V13" i="5"/>
  <c r="C14" i="5"/>
  <c r="D14" i="5"/>
  <c r="E14" i="5"/>
  <c r="F14" i="5"/>
  <c r="G14" i="5"/>
  <c r="H14" i="5"/>
  <c r="I14" i="5"/>
  <c r="J14" i="5"/>
  <c r="K14" i="5"/>
  <c r="L14" i="5"/>
  <c r="M14" i="5"/>
  <c r="N14" i="5"/>
  <c r="O14" i="5"/>
  <c r="P14" i="5"/>
  <c r="Q14" i="5"/>
  <c r="R14" i="5"/>
  <c r="S14" i="5"/>
  <c r="T14" i="5"/>
  <c r="U14" i="5"/>
  <c r="V14" i="5"/>
  <c r="G7" i="1"/>
  <c r="G8" i="1"/>
  <c r="G9" i="1"/>
  <c r="G10" i="1"/>
  <c r="G11" i="1"/>
  <c r="G12" i="1"/>
  <c r="G13" i="1"/>
  <c r="G14" i="1"/>
  <c r="G15" i="1"/>
  <c r="N10" i="3"/>
  <c r="N15" i="4"/>
  <c r="N18" i="3"/>
  <c r="N16" i="4"/>
  <c r="N26" i="3"/>
  <c r="N17" i="4"/>
  <c r="N34" i="3"/>
  <c r="N19" i="4"/>
  <c r="O10" i="3"/>
  <c r="O15" i="4"/>
  <c r="O18" i="3"/>
  <c r="O16" i="4"/>
  <c r="O26" i="3"/>
  <c r="O17" i="4"/>
  <c r="O34" i="3"/>
  <c r="O19" i="4"/>
  <c r="P10" i="3"/>
  <c r="P15" i="4"/>
  <c r="P18" i="3"/>
  <c r="P16" i="4"/>
  <c r="P26" i="3"/>
  <c r="P17" i="4"/>
  <c r="P34" i="3"/>
  <c r="P19" i="4"/>
  <c r="C24" i="1"/>
  <c r="C27" i="1"/>
  <c r="F9" i="6"/>
  <c r="C30" i="1"/>
  <c r="F13" i="6"/>
  <c r="D26" i="5"/>
  <c r="E26" i="5"/>
  <c r="F26" i="5"/>
  <c r="G26" i="5"/>
  <c r="F16" i="6"/>
  <c r="D30" i="5"/>
  <c r="E30" i="5"/>
  <c r="F30" i="5"/>
  <c r="G30" i="5"/>
  <c r="F18" i="6"/>
  <c r="K10" i="3"/>
  <c r="K15" i="4"/>
  <c r="K18" i="3"/>
  <c r="K16" i="4"/>
  <c r="K26" i="3"/>
  <c r="K17" i="4"/>
  <c r="K34" i="3"/>
  <c r="K19" i="4"/>
  <c r="L10" i="3"/>
  <c r="L15" i="4"/>
  <c r="L18" i="3"/>
  <c r="L16" i="4"/>
  <c r="L26" i="3"/>
  <c r="L17" i="4"/>
  <c r="L34" i="3"/>
  <c r="L19" i="4"/>
  <c r="M10" i="3"/>
  <c r="M15" i="4"/>
  <c r="M18" i="3"/>
  <c r="M16" i="4"/>
  <c r="M26" i="3"/>
  <c r="M17" i="4"/>
  <c r="M34" i="3"/>
  <c r="M19" i="4"/>
  <c r="E9" i="6"/>
  <c r="E13" i="6"/>
  <c r="E16" i="6"/>
  <c r="E18" i="6"/>
  <c r="H10" i="3"/>
  <c r="H15" i="4"/>
  <c r="H18" i="3"/>
  <c r="H16" i="4"/>
  <c r="H26" i="3"/>
  <c r="H17" i="4"/>
  <c r="H34" i="3"/>
  <c r="H19" i="4"/>
  <c r="I10" i="3"/>
  <c r="I15" i="4"/>
  <c r="I18" i="3"/>
  <c r="I16" i="4"/>
  <c r="I26" i="3"/>
  <c r="I17" i="4"/>
  <c r="I34" i="3"/>
  <c r="I19" i="4"/>
  <c r="J10" i="3"/>
  <c r="J15" i="4"/>
  <c r="J18" i="3"/>
  <c r="J16" i="4"/>
  <c r="J26" i="3"/>
  <c r="J17" i="4"/>
  <c r="J34" i="3"/>
  <c r="J19" i="4"/>
  <c r="D9" i="6"/>
  <c r="D13" i="6"/>
  <c r="D16" i="6"/>
  <c r="D18" i="6"/>
  <c r="E10" i="3"/>
  <c r="E15" i="4"/>
  <c r="E18" i="3"/>
  <c r="E16" i="4"/>
  <c r="E26" i="3"/>
  <c r="E17" i="4"/>
  <c r="E34" i="3"/>
  <c r="E19" i="4"/>
  <c r="F10" i="3"/>
  <c r="F15" i="4"/>
  <c r="F18" i="3"/>
  <c r="F16" i="4"/>
  <c r="F26" i="3"/>
  <c r="F17" i="4"/>
  <c r="F34" i="3"/>
  <c r="F19" i="4"/>
  <c r="G10" i="3"/>
  <c r="G15" i="4"/>
  <c r="G18" i="3"/>
  <c r="G16" i="4"/>
  <c r="G26" i="3"/>
  <c r="G17" i="4"/>
  <c r="G34" i="3"/>
  <c r="G19" i="4"/>
  <c r="C9" i="6"/>
  <c r="C13" i="6"/>
  <c r="C16" i="6"/>
  <c r="C18" i="6"/>
  <c r="B10" i="3"/>
  <c r="B15" i="4"/>
  <c r="B18" i="3"/>
  <c r="B16" i="4"/>
  <c r="B26" i="3"/>
  <c r="B17" i="4"/>
  <c r="B34" i="3"/>
  <c r="B19" i="4"/>
  <c r="C10" i="3"/>
  <c r="C15" i="4"/>
  <c r="C18" i="3"/>
  <c r="C16" i="4"/>
  <c r="C26" i="3"/>
  <c r="C17" i="4"/>
  <c r="C34" i="3"/>
  <c r="C19" i="4"/>
  <c r="D10" i="3"/>
  <c r="D15" i="4"/>
  <c r="D18" i="3"/>
  <c r="D16" i="4"/>
  <c r="D26" i="3"/>
  <c r="D17" i="4"/>
  <c r="D34" i="3"/>
  <c r="D19" i="4"/>
  <c r="B9" i="6"/>
  <c r="B13" i="6"/>
  <c r="B16" i="6"/>
  <c r="B18" i="6"/>
  <c r="G5" i="5"/>
  <c r="Q10" i="3"/>
  <c r="Q15" i="4"/>
  <c r="Q18" i="3"/>
  <c r="Q16" i="4"/>
  <c r="Q26" i="3"/>
  <c r="Q17" i="4"/>
  <c r="Q34" i="3"/>
  <c r="Q19" i="4"/>
  <c r="R10" i="3"/>
  <c r="R15" i="4"/>
  <c r="R18" i="3"/>
  <c r="R16" i="4"/>
  <c r="R26" i="3"/>
  <c r="R17" i="4"/>
  <c r="R34" i="3"/>
  <c r="R19" i="4"/>
  <c r="S10" i="3"/>
  <c r="S15" i="4"/>
  <c r="S18" i="3"/>
  <c r="S16" i="4"/>
  <c r="S26" i="3"/>
  <c r="S17" i="4"/>
  <c r="S34" i="3"/>
  <c r="S19" i="4"/>
  <c r="G9" i="6"/>
  <c r="G13" i="6"/>
  <c r="H26" i="5"/>
  <c r="G16" i="6"/>
  <c r="H30" i="5"/>
  <c r="G18" i="6"/>
  <c r="H5" i="5"/>
  <c r="T10" i="3"/>
  <c r="T15" i="4"/>
  <c r="T18" i="3"/>
  <c r="T16" i="4"/>
  <c r="T26" i="3"/>
  <c r="T17" i="4"/>
  <c r="T34" i="3"/>
  <c r="T19" i="4"/>
  <c r="U10" i="3"/>
  <c r="U15" i="4"/>
  <c r="U18" i="3"/>
  <c r="U16" i="4"/>
  <c r="U26" i="3"/>
  <c r="U17" i="4"/>
  <c r="U34" i="3"/>
  <c r="U19" i="4"/>
  <c r="V10" i="3"/>
  <c r="V15" i="4"/>
  <c r="V18" i="3"/>
  <c r="V16" i="4"/>
  <c r="V26" i="3"/>
  <c r="V17" i="4"/>
  <c r="V34" i="3"/>
  <c r="V19" i="4"/>
  <c r="H9" i="6"/>
  <c r="H13" i="6"/>
  <c r="I26" i="5"/>
  <c r="H16" i="6"/>
  <c r="I30" i="5"/>
  <c r="H18" i="6"/>
  <c r="I5" i="5"/>
  <c r="W10" i="3"/>
  <c r="W15" i="4"/>
  <c r="W18" i="3"/>
  <c r="W16" i="4"/>
  <c r="W26" i="3"/>
  <c r="W17" i="4"/>
  <c r="W34" i="3"/>
  <c r="W19" i="4"/>
  <c r="X10" i="3"/>
  <c r="X15" i="4"/>
  <c r="X18" i="3"/>
  <c r="X16" i="4"/>
  <c r="X26" i="3"/>
  <c r="X17" i="4"/>
  <c r="X34" i="3"/>
  <c r="X19" i="4"/>
  <c r="Y10" i="3"/>
  <c r="Y15" i="4"/>
  <c r="Y18" i="3"/>
  <c r="Y16" i="4"/>
  <c r="Y26" i="3"/>
  <c r="Y17" i="4"/>
  <c r="Y34" i="3"/>
  <c r="Y19" i="4"/>
  <c r="I9" i="6"/>
  <c r="I13" i="6"/>
  <c r="J26" i="5"/>
  <c r="I16" i="6"/>
  <c r="J30" i="5"/>
  <c r="I18" i="6"/>
  <c r="J5" i="5"/>
  <c r="Z10" i="3"/>
  <c r="Z15" i="4"/>
  <c r="Z18" i="3"/>
  <c r="Z16" i="4"/>
  <c r="Z26" i="3"/>
  <c r="Z17" i="4"/>
  <c r="Z34" i="3"/>
  <c r="Z19" i="4"/>
  <c r="AA10" i="3"/>
  <c r="AA15" i="4"/>
  <c r="AA18" i="3"/>
  <c r="AA16" i="4"/>
  <c r="AA26" i="3"/>
  <c r="AA17" i="4"/>
  <c r="AA34" i="3"/>
  <c r="AA19" i="4"/>
  <c r="AB10" i="3"/>
  <c r="AB15" i="4"/>
  <c r="AB18" i="3"/>
  <c r="AB16" i="4"/>
  <c r="AB26" i="3"/>
  <c r="AB17" i="4"/>
  <c r="AB34" i="3"/>
  <c r="AB19" i="4"/>
  <c r="J9" i="6"/>
  <c r="J13" i="6"/>
  <c r="K26" i="5"/>
  <c r="J16" i="6"/>
  <c r="K30" i="5"/>
  <c r="J18" i="6"/>
  <c r="K5" i="5"/>
  <c r="AC10" i="3"/>
  <c r="AC15" i="4"/>
  <c r="AC18" i="3"/>
  <c r="AC16" i="4"/>
  <c r="AC26" i="3"/>
  <c r="AC17" i="4"/>
  <c r="AC34" i="3"/>
  <c r="AC19" i="4"/>
  <c r="AD10" i="3"/>
  <c r="AD15" i="4"/>
  <c r="AD18" i="3"/>
  <c r="AD16" i="4"/>
  <c r="AD26" i="3"/>
  <c r="AD17" i="4"/>
  <c r="AD34" i="3"/>
  <c r="AD19" i="4"/>
  <c r="AE10" i="3"/>
  <c r="AE15" i="4"/>
  <c r="AE18" i="3"/>
  <c r="AE16" i="4"/>
  <c r="AE26" i="3"/>
  <c r="AE17" i="4"/>
  <c r="AE34" i="3"/>
  <c r="AE19" i="4"/>
  <c r="K9" i="6"/>
  <c r="K13" i="6"/>
  <c r="L26" i="5"/>
  <c r="K16" i="6"/>
  <c r="L30" i="5"/>
  <c r="K18" i="6"/>
  <c r="L5" i="5"/>
  <c r="AF10" i="3"/>
  <c r="AF15" i="4"/>
  <c r="AF18" i="3"/>
  <c r="AF16" i="4"/>
  <c r="AF26" i="3"/>
  <c r="AF17" i="4"/>
  <c r="AF34" i="3"/>
  <c r="AF19" i="4"/>
  <c r="AG10" i="3"/>
  <c r="AG15" i="4"/>
  <c r="AG18" i="3"/>
  <c r="AG16" i="4"/>
  <c r="AG26" i="3"/>
  <c r="AG17" i="4"/>
  <c r="AG34" i="3"/>
  <c r="AG19" i="4"/>
  <c r="AH10" i="3"/>
  <c r="AH15" i="4"/>
  <c r="AH18" i="3"/>
  <c r="AH16" i="4"/>
  <c r="AH26" i="3"/>
  <c r="AH17" i="4"/>
  <c r="AH34" i="3"/>
  <c r="AH19" i="4"/>
  <c r="L9" i="6"/>
  <c r="L13" i="6"/>
  <c r="M26" i="5"/>
  <c r="L16" i="6"/>
  <c r="M30" i="5"/>
  <c r="L18" i="6"/>
  <c r="M5" i="5"/>
  <c r="AI10" i="3"/>
  <c r="AI15" i="4"/>
  <c r="AI18" i="3"/>
  <c r="AI16" i="4"/>
  <c r="AI26" i="3"/>
  <c r="AI17" i="4"/>
  <c r="AI34" i="3"/>
  <c r="AI19" i="4"/>
  <c r="AJ10" i="3"/>
  <c r="AJ15" i="4"/>
  <c r="AJ18" i="3"/>
  <c r="AJ16" i="4"/>
  <c r="AJ26" i="3"/>
  <c r="AJ17" i="4"/>
  <c r="AJ34" i="3"/>
  <c r="AJ19" i="4"/>
  <c r="AK10" i="3"/>
  <c r="AK15" i="4"/>
  <c r="AK18" i="3"/>
  <c r="AK16" i="4"/>
  <c r="AK26" i="3"/>
  <c r="AK17" i="4"/>
  <c r="AK34" i="3"/>
  <c r="AK19" i="4"/>
  <c r="M9" i="6"/>
  <c r="M13" i="6"/>
  <c r="N26" i="5"/>
  <c r="M16" i="6"/>
  <c r="N30" i="5"/>
  <c r="M18" i="6"/>
  <c r="N5" i="5"/>
  <c r="AL10" i="3"/>
  <c r="AL15" i="4"/>
  <c r="AL18" i="3"/>
  <c r="AL16" i="4"/>
  <c r="AL26" i="3"/>
  <c r="AL17" i="4"/>
  <c r="AL34" i="3"/>
  <c r="AL19" i="4"/>
  <c r="AM10" i="3"/>
  <c r="AM15" i="4"/>
  <c r="AM18" i="3"/>
  <c r="AM16" i="4"/>
  <c r="AM26" i="3"/>
  <c r="AM17" i="4"/>
  <c r="AM34" i="3"/>
  <c r="AM19" i="4"/>
  <c r="AN10" i="3"/>
  <c r="AN15" i="4"/>
  <c r="AN18" i="3"/>
  <c r="AN16" i="4"/>
  <c r="AN26" i="3"/>
  <c r="AN17" i="4"/>
  <c r="AN34" i="3"/>
  <c r="AN19" i="4"/>
  <c r="N9" i="6"/>
  <c r="N13" i="6"/>
  <c r="O26" i="5"/>
  <c r="N16" i="6"/>
  <c r="O30" i="5"/>
  <c r="N18" i="6"/>
  <c r="O5" i="5"/>
  <c r="AO10" i="3"/>
  <c r="AO15" i="4"/>
  <c r="AO18" i="3"/>
  <c r="AO16" i="4"/>
  <c r="AO26" i="3"/>
  <c r="AO17" i="4"/>
  <c r="AO34" i="3"/>
  <c r="AO19" i="4"/>
  <c r="AP10" i="3"/>
  <c r="AP15" i="4"/>
  <c r="AP18" i="3"/>
  <c r="AP16" i="4"/>
  <c r="AP26" i="3"/>
  <c r="AP17" i="4"/>
  <c r="AP34" i="3"/>
  <c r="AP19" i="4"/>
  <c r="AQ10" i="3"/>
  <c r="AQ15" i="4"/>
  <c r="AQ18" i="3"/>
  <c r="AQ16" i="4"/>
  <c r="AQ26" i="3"/>
  <c r="AQ17" i="4"/>
  <c r="AQ34" i="3"/>
  <c r="AQ19" i="4"/>
  <c r="O9" i="6"/>
  <c r="O13" i="6"/>
  <c r="P26" i="5"/>
  <c r="O16" i="6"/>
  <c r="P30" i="5"/>
  <c r="O18" i="6"/>
  <c r="P5" i="5"/>
  <c r="AR10" i="3"/>
  <c r="AR15" i="4"/>
  <c r="AR18" i="3"/>
  <c r="AR16" i="4"/>
  <c r="AR26" i="3"/>
  <c r="AR17" i="4"/>
  <c r="AR34" i="3"/>
  <c r="AR19" i="4"/>
  <c r="AS10" i="3"/>
  <c r="AS15" i="4"/>
  <c r="AS18" i="3"/>
  <c r="AS16" i="4"/>
  <c r="AS26" i="3"/>
  <c r="AS17" i="4"/>
  <c r="AS34" i="3"/>
  <c r="AS19" i="4"/>
  <c r="AT10" i="3"/>
  <c r="AT15" i="4"/>
  <c r="AT18" i="3"/>
  <c r="AT16" i="4"/>
  <c r="AT26" i="3"/>
  <c r="AT17" i="4"/>
  <c r="AT34" i="3"/>
  <c r="AT19" i="4"/>
  <c r="P9" i="6"/>
  <c r="P13" i="6"/>
  <c r="Q26" i="5"/>
  <c r="P16" i="6"/>
  <c r="Q30" i="5"/>
  <c r="P18" i="6"/>
  <c r="Q5" i="5"/>
  <c r="AU10" i="3"/>
  <c r="AU15" i="4"/>
  <c r="AU18" i="3"/>
  <c r="AU16" i="4"/>
  <c r="AU26" i="3"/>
  <c r="AU17" i="4"/>
  <c r="AU34" i="3"/>
  <c r="AU19" i="4"/>
  <c r="AV10" i="3"/>
  <c r="AV15" i="4"/>
  <c r="AV18" i="3"/>
  <c r="AV16" i="4"/>
  <c r="AV26" i="3"/>
  <c r="AV17" i="4"/>
  <c r="AV34" i="3"/>
  <c r="AV19" i="4"/>
  <c r="AW10" i="3"/>
  <c r="AW15" i="4"/>
  <c r="AW18" i="3"/>
  <c r="AW16" i="4"/>
  <c r="AW26" i="3"/>
  <c r="AW17" i="4"/>
  <c r="AW34" i="3"/>
  <c r="AW19" i="4"/>
  <c r="Q9" i="6"/>
  <c r="Q13" i="6"/>
  <c r="R26" i="5"/>
  <c r="Q16" i="6"/>
  <c r="R30" i="5"/>
  <c r="Q18" i="6"/>
  <c r="R5" i="5"/>
  <c r="AX10" i="3"/>
  <c r="AX15" i="4"/>
  <c r="AX18" i="3"/>
  <c r="AX16" i="4"/>
  <c r="AX26" i="3"/>
  <c r="AX17" i="4"/>
  <c r="AX34" i="3"/>
  <c r="AX19" i="4"/>
  <c r="AY10" i="3"/>
  <c r="AY15" i="4"/>
  <c r="AY18" i="3"/>
  <c r="AY16" i="4"/>
  <c r="AY26" i="3"/>
  <c r="AY17" i="4"/>
  <c r="AY34" i="3"/>
  <c r="AY19" i="4"/>
  <c r="AZ10" i="3"/>
  <c r="AZ15" i="4"/>
  <c r="AZ18" i="3"/>
  <c r="AZ16" i="4"/>
  <c r="AZ26" i="3"/>
  <c r="AZ17" i="4"/>
  <c r="AZ34" i="3"/>
  <c r="AZ19" i="4"/>
  <c r="R9" i="6"/>
  <c r="R13" i="6"/>
  <c r="S26" i="5"/>
  <c r="R16" i="6"/>
  <c r="S30" i="5"/>
  <c r="R18" i="6"/>
  <c r="S5" i="5"/>
  <c r="BA10" i="3"/>
  <c r="BA15" i="4"/>
  <c r="BA18" i="3"/>
  <c r="BA16" i="4"/>
  <c r="BA26" i="3"/>
  <c r="BA17" i="4"/>
  <c r="BA34" i="3"/>
  <c r="BA19" i="4"/>
  <c r="BB10" i="3"/>
  <c r="BB15" i="4"/>
  <c r="BB18" i="3"/>
  <c r="BB16" i="4"/>
  <c r="BB26" i="3"/>
  <c r="BB17" i="4"/>
  <c r="BB34" i="3"/>
  <c r="BB19" i="4"/>
  <c r="BC10" i="3"/>
  <c r="BC15" i="4"/>
  <c r="BC18" i="3"/>
  <c r="BC16" i="4"/>
  <c r="BC26" i="3"/>
  <c r="BC17" i="4"/>
  <c r="BC34" i="3"/>
  <c r="BC19" i="4"/>
  <c r="S9" i="6"/>
  <c r="S13" i="6"/>
  <c r="T26" i="5"/>
  <c r="S16" i="6"/>
  <c r="T30" i="5"/>
  <c r="S18" i="6"/>
  <c r="T5" i="5"/>
  <c r="BD10" i="3"/>
  <c r="BD15" i="4"/>
  <c r="BD18" i="3"/>
  <c r="BD16" i="4"/>
  <c r="BD26" i="3"/>
  <c r="BD17" i="4"/>
  <c r="BD34" i="3"/>
  <c r="BD19" i="4"/>
  <c r="BE10" i="3"/>
  <c r="BE15" i="4"/>
  <c r="BE18" i="3"/>
  <c r="BE16" i="4"/>
  <c r="BE26" i="3"/>
  <c r="BE17" i="4"/>
  <c r="BE34" i="3"/>
  <c r="BE19" i="4"/>
  <c r="BF10" i="3"/>
  <c r="BF15" i="4"/>
  <c r="BF18" i="3"/>
  <c r="BF16" i="4"/>
  <c r="BF26" i="3"/>
  <c r="BF17" i="4"/>
  <c r="BF34" i="3"/>
  <c r="BF19" i="4"/>
  <c r="T9" i="6"/>
  <c r="T13" i="6"/>
  <c r="U26" i="5"/>
  <c r="T16" i="6"/>
  <c r="U30" i="5"/>
  <c r="T18" i="6"/>
  <c r="U5" i="5"/>
  <c r="BG10" i="3"/>
  <c r="BG15" i="4"/>
  <c r="BG18" i="3"/>
  <c r="BG16" i="4"/>
  <c r="BG26" i="3"/>
  <c r="BG17" i="4"/>
  <c r="BG34" i="3"/>
  <c r="BG19" i="4"/>
  <c r="BH10" i="3"/>
  <c r="BH15" i="4"/>
  <c r="BH18" i="3"/>
  <c r="BH16" i="4"/>
  <c r="BH26" i="3"/>
  <c r="BH17" i="4"/>
  <c r="BH34" i="3"/>
  <c r="BH19" i="4"/>
  <c r="BI10" i="3"/>
  <c r="BI15" i="4"/>
  <c r="BI18" i="3"/>
  <c r="BI16" i="4"/>
  <c r="BI26" i="3"/>
  <c r="BI17" i="4"/>
  <c r="BI34" i="3"/>
  <c r="BI19" i="4"/>
  <c r="U9" i="6"/>
  <c r="U13" i="6"/>
  <c r="V26" i="5"/>
  <c r="U16" i="6"/>
  <c r="V30" i="5"/>
  <c r="U18" i="6"/>
  <c r="V5" i="5"/>
  <c r="E5" i="5"/>
  <c r="F5" i="5"/>
  <c r="D5" i="5"/>
  <c r="C5" i="5"/>
  <c r="A65" i="9"/>
  <c r="C40" i="6"/>
  <c r="C83" i="9"/>
  <c r="E40" i="6"/>
  <c r="E83" i="9"/>
  <c r="A69" i="9"/>
  <c r="A71" i="9"/>
  <c r="A72" i="9"/>
  <c r="A73" i="9"/>
  <c r="A74" i="9"/>
  <c r="A76" i="9"/>
  <c r="A77" i="9"/>
  <c r="A79" i="9"/>
  <c r="A80" i="9"/>
  <c r="A82" i="9"/>
  <c r="A83" i="9"/>
  <c r="A85" i="9"/>
  <c r="A86" i="9"/>
  <c r="A68" i="9"/>
  <c r="A32" i="9"/>
  <c r="B45" i="5"/>
  <c r="B42" i="9"/>
  <c r="B57" i="5"/>
  <c r="B54" i="9"/>
  <c r="A2" i="9"/>
  <c r="AJ24" i="1"/>
  <c r="AJ23" i="1"/>
  <c r="AJ22" i="1"/>
  <c r="AJ21" i="1"/>
  <c r="AJ20" i="1"/>
  <c r="AJ19" i="1"/>
  <c r="AJ18" i="1"/>
  <c r="AJ17" i="1"/>
  <c r="AJ16" i="1"/>
  <c r="AJ15" i="1"/>
  <c r="AJ14" i="1"/>
  <c r="AJ13" i="1"/>
  <c r="AJ12" i="1"/>
  <c r="AJ11" i="1"/>
  <c r="AJ10" i="1"/>
  <c r="AJ9" i="1"/>
  <c r="AJ8" i="1"/>
  <c r="AJ7" i="1"/>
  <c r="AJ6" i="1"/>
  <c r="AJ5" i="1"/>
  <c r="E30" i="1"/>
  <c r="B40" i="6"/>
  <c r="B83" i="9"/>
  <c r="D40" i="6"/>
  <c r="D83" i="9"/>
  <c r="F40" i="6"/>
  <c r="F83" i="9"/>
  <c r="C2" i="5"/>
  <c r="B30" i="6"/>
  <c r="B73" i="9"/>
  <c r="B46" i="5"/>
  <c r="B43" i="9"/>
  <c r="G52" i="5"/>
  <c r="G49" i="9"/>
  <c r="F52" i="5"/>
  <c r="F49" i="9"/>
  <c r="E52" i="5"/>
  <c r="E49" i="9"/>
  <c r="D52" i="5"/>
  <c r="D49" i="9"/>
  <c r="C52" i="5"/>
  <c r="C49" i="9"/>
  <c r="B39" i="5"/>
  <c r="B36" i="9"/>
  <c r="B40" i="5"/>
  <c r="B37" i="9"/>
  <c r="B41" i="5"/>
  <c r="B38" i="9"/>
  <c r="C41" i="5"/>
  <c r="C38" i="9"/>
  <c r="D41" i="5"/>
  <c r="D38" i="9"/>
  <c r="E41" i="5"/>
  <c r="E38" i="9"/>
  <c r="F41" i="5"/>
  <c r="F38" i="9"/>
  <c r="G41" i="5"/>
  <c r="G38" i="9"/>
  <c r="E24" i="1"/>
  <c r="E27" i="1"/>
  <c r="B62" i="5"/>
  <c r="B59" i="9"/>
  <c r="B61" i="5"/>
  <c r="B58" i="9"/>
  <c r="B56" i="5"/>
  <c r="B53" i="9"/>
  <c r="B52" i="5"/>
  <c r="B49" i="9"/>
  <c r="B51" i="5"/>
  <c r="B48" i="9"/>
  <c r="B38" i="5"/>
  <c r="B35" i="9"/>
  <c r="A39" i="5"/>
  <c r="A36" i="9"/>
  <c r="A40" i="5"/>
  <c r="A37" i="9"/>
  <c r="A41" i="5"/>
  <c r="A38" i="9"/>
  <c r="A43" i="5"/>
  <c r="A40" i="9"/>
  <c r="A45" i="5"/>
  <c r="A42" i="9"/>
  <c r="A46" i="5"/>
  <c r="A43" i="9"/>
  <c r="A47" i="5"/>
  <c r="A44" i="9"/>
  <c r="A49" i="5"/>
  <c r="A46" i="9"/>
  <c r="A51" i="5"/>
  <c r="A48" i="9"/>
  <c r="A52" i="5"/>
  <c r="A49" i="9"/>
  <c r="A54" i="5"/>
  <c r="A51" i="9"/>
  <c r="A56" i="5"/>
  <c r="A53" i="9"/>
  <c r="A57" i="5"/>
  <c r="A54" i="9"/>
  <c r="A59" i="5"/>
  <c r="A56" i="9"/>
  <c r="A61" i="5"/>
  <c r="A58" i="9"/>
  <c r="A62" i="5"/>
  <c r="A59" i="9"/>
  <c r="A64" i="5"/>
  <c r="A61" i="9"/>
  <c r="A66" i="5"/>
  <c r="A63" i="9"/>
  <c r="A38" i="5"/>
  <c r="A35" i="9"/>
  <c r="B33" i="5"/>
  <c r="B16" i="5"/>
  <c r="B23" i="5"/>
  <c r="B28" i="5"/>
  <c r="B10" i="5"/>
  <c r="B18" i="5"/>
  <c r="B3" i="2"/>
  <c r="B3" i="4"/>
  <c r="M3" i="2"/>
  <c r="Y3" i="2"/>
  <c r="L3" i="2"/>
  <c r="X3" i="2"/>
  <c r="K3" i="2"/>
  <c r="W3" i="2"/>
  <c r="J3" i="2"/>
  <c r="V3" i="2"/>
  <c r="I3" i="2"/>
  <c r="U3" i="2"/>
  <c r="H3" i="2"/>
  <c r="T3" i="2"/>
  <c r="G3" i="2"/>
  <c r="S3" i="2"/>
  <c r="F3" i="2"/>
  <c r="R3" i="2"/>
  <c r="E3" i="2"/>
  <c r="Q3" i="2"/>
  <c r="D3" i="2"/>
  <c r="P3" i="2"/>
  <c r="C3" i="2"/>
  <c r="O3" i="2"/>
  <c r="N3" i="2"/>
  <c r="Z3" i="2"/>
  <c r="F18" i="9"/>
  <c r="E18" i="9"/>
  <c r="D18" i="9"/>
  <c r="C18" i="9"/>
  <c r="B18" i="9"/>
  <c r="F20" i="9"/>
  <c r="E20" i="9"/>
  <c r="D20" i="9"/>
  <c r="C20" i="9"/>
  <c r="B20" i="9"/>
  <c r="F16" i="9"/>
  <c r="E16" i="9"/>
  <c r="D16" i="9"/>
  <c r="C16" i="9"/>
  <c r="C17" i="9"/>
  <c r="E17" i="9"/>
  <c r="B17" i="9"/>
  <c r="B2" i="2"/>
  <c r="B24" i="6"/>
  <c r="B67" i="9"/>
  <c r="A5" i="2"/>
  <c r="A17" i="2"/>
  <c r="A6" i="2"/>
  <c r="A32" i="2"/>
  <c r="A7" i="2"/>
  <c r="A33" i="2"/>
  <c r="A8" i="2"/>
  <c r="A34" i="2"/>
  <c r="A9" i="2"/>
  <c r="A35" i="2"/>
  <c r="A10" i="2"/>
  <c r="A36" i="2"/>
  <c r="A11" i="2"/>
  <c r="A37" i="2"/>
  <c r="A12" i="2"/>
  <c r="A38" i="2"/>
  <c r="A13" i="2"/>
  <c r="A39" i="2"/>
  <c r="A4" i="2"/>
  <c r="A30" i="2"/>
  <c r="B54" i="5"/>
  <c r="B51" i="9"/>
  <c r="B59" i="5"/>
  <c r="B56" i="9"/>
  <c r="B43" i="5"/>
  <c r="B40" i="9"/>
  <c r="B35" i="5"/>
  <c r="B47" i="5"/>
  <c r="B44" i="9"/>
  <c r="C37" i="5"/>
  <c r="C34" i="9"/>
  <c r="B43" i="4"/>
  <c r="C43" i="4"/>
  <c r="D43" i="4"/>
  <c r="E43" i="4"/>
  <c r="F43" i="4"/>
  <c r="F4" i="9"/>
  <c r="B64" i="5"/>
  <c r="B66" i="5"/>
  <c r="B63" i="9"/>
  <c r="N2" i="2"/>
  <c r="Z2" i="2"/>
  <c r="AL2" i="2"/>
  <c r="AX2" i="2"/>
  <c r="M3" i="3"/>
  <c r="B3" i="3"/>
  <c r="L3" i="3"/>
  <c r="H3" i="3"/>
  <c r="F3" i="3"/>
  <c r="D3" i="3"/>
  <c r="F3" i="4"/>
  <c r="H3" i="4"/>
  <c r="J3" i="4"/>
  <c r="N3" i="4"/>
  <c r="B2" i="4"/>
  <c r="N2" i="4"/>
  <c r="Z2" i="4"/>
  <c r="AL2" i="4"/>
  <c r="AX2" i="4"/>
  <c r="K3" i="3"/>
  <c r="I3" i="3"/>
  <c r="E3" i="3"/>
  <c r="C3" i="3"/>
  <c r="C3" i="4"/>
  <c r="G3" i="4"/>
  <c r="I3" i="4"/>
  <c r="K3" i="4"/>
  <c r="M3" i="4"/>
  <c r="A53" i="2"/>
  <c r="A49" i="2"/>
  <c r="A45" i="2"/>
  <c r="A65" i="2"/>
  <c r="A61" i="2"/>
  <c r="A44" i="2"/>
  <c r="A50" i="2"/>
  <c r="A46" i="2"/>
  <c r="A66" i="2"/>
  <c r="A62" i="2"/>
  <c r="A31" i="2"/>
  <c r="A23" i="2"/>
  <c r="A19" i="2"/>
  <c r="A24" i="2"/>
  <c r="A20" i="2"/>
  <c r="G2" i="5"/>
  <c r="K2" i="5"/>
  <c r="O2" i="5"/>
  <c r="S2" i="5"/>
  <c r="B37" i="5"/>
  <c r="B34" i="9"/>
  <c r="B2" i="3"/>
  <c r="N2" i="3"/>
  <c r="Z2" i="3"/>
  <c r="AL2" i="3"/>
  <c r="AX2" i="3"/>
  <c r="F34" i="6"/>
  <c r="F77" i="9"/>
  <c r="E34" i="6"/>
  <c r="E77" i="9"/>
  <c r="D34" i="6"/>
  <c r="D77" i="9"/>
  <c r="C34" i="6"/>
  <c r="C77" i="9"/>
  <c r="F30" i="6"/>
  <c r="F73" i="9"/>
  <c r="E30" i="6"/>
  <c r="E73" i="9"/>
  <c r="D30" i="6"/>
  <c r="D73" i="9"/>
  <c r="C30" i="6"/>
  <c r="C73" i="9"/>
  <c r="R3" i="3"/>
  <c r="Z3" i="3"/>
  <c r="AC3" i="2"/>
  <c r="AO3" i="2"/>
  <c r="BA3" i="2"/>
  <c r="BA3" i="3"/>
  <c r="Q3" i="4"/>
  <c r="Q3" i="3"/>
  <c r="E3" i="4"/>
  <c r="G3" i="3"/>
  <c r="L3" i="4"/>
  <c r="D3" i="4"/>
  <c r="J3" i="3"/>
  <c r="N3" i="3"/>
  <c r="S3" i="3"/>
  <c r="S3" i="4"/>
  <c r="AE3" i="2"/>
  <c r="AQ3" i="2"/>
  <c r="O3" i="4"/>
  <c r="O3" i="3"/>
  <c r="AA3" i="2"/>
  <c r="AA3" i="4"/>
  <c r="P3" i="3"/>
  <c r="AB3" i="2"/>
  <c r="AB3" i="3"/>
  <c r="P3" i="4"/>
  <c r="T3" i="3"/>
  <c r="AF3" i="2"/>
  <c r="AF3" i="4"/>
  <c r="T3" i="4"/>
  <c r="AL3" i="2"/>
  <c r="AL3" i="4"/>
  <c r="Z3" i="4"/>
  <c r="AD3" i="2"/>
  <c r="AP3" i="2"/>
  <c r="R3" i="4"/>
  <c r="AC3" i="3"/>
  <c r="AE3" i="3"/>
  <c r="AM3" i="2"/>
  <c r="AM3" i="3"/>
  <c r="AA3" i="3"/>
  <c r="AN3" i="2"/>
  <c r="AZ3" i="2"/>
  <c r="AZ3" i="4"/>
  <c r="AL3" i="3"/>
  <c r="AR3" i="2"/>
  <c r="AR3" i="4"/>
  <c r="AF3" i="3"/>
  <c r="AY3" i="2"/>
  <c r="AY3" i="4"/>
  <c r="BD3" i="2"/>
  <c r="BD3" i="3"/>
  <c r="AY3" i="3"/>
  <c r="U3" i="3"/>
  <c r="AG3" i="2"/>
  <c r="AG3" i="3"/>
  <c r="U3" i="4"/>
  <c r="W3" i="3"/>
  <c r="W3" i="4"/>
  <c r="AI3" i="2"/>
  <c r="AI3" i="4"/>
  <c r="Y3" i="4"/>
  <c r="Y3" i="3"/>
  <c r="AK3" i="2"/>
  <c r="AK3" i="3"/>
  <c r="V3" i="4"/>
  <c r="V3" i="3"/>
  <c r="AH3" i="2"/>
  <c r="AJ3" i="2"/>
  <c r="AJ3" i="4"/>
  <c r="X3" i="3"/>
  <c r="X3" i="4"/>
  <c r="AJ3" i="3"/>
  <c r="AV3" i="2"/>
  <c r="AV3" i="4"/>
  <c r="AK3" i="4"/>
  <c r="AS3" i="2"/>
  <c r="BE3" i="2"/>
  <c r="AV3" i="3"/>
  <c r="BH3" i="2"/>
  <c r="BH3" i="4"/>
  <c r="AD3" i="3"/>
  <c r="BD3" i="4"/>
  <c r="AX3" i="2"/>
  <c r="AD3" i="4"/>
  <c r="C24" i="6"/>
  <c r="D37" i="5"/>
  <c r="E37" i="5"/>
  <c r="E34" i="9"/>
  <c r="F17" i="9"/>
  <c r="B16" i="9"/>
  <c r="D4" i="9"/>
  <c r="B4" i="9"/>
  <c r="E4" i="9"/>
  <c r="AS3" i="3"/>
  <c r="AH3" i="3"/>
  <c r="AH3" i="4"/>
  <c r="AT3" i="2"/>
  <c r="AT3" i="4"/>
  <c r="AI3" i="3"/>
  <c r="AG3" i="4"/>
  <c r="AZ3" i="3"/>
  <c r="AO3" i="3"/>
  <c r="AQ3" i="4"/>
  <c r="B49" i="5"/>
  <c r="B46" i="9"/>
  <c r="B37" i="6"/>
  <c r="B80" i="9"/>
  <c r="D34" i="9"/>
  <c r="AX3" i="4"/>
  <c r="AX3" i="3"/>
  <c r="BB3" i="2"/>
  <c r="BB3" i="3"/>
  <c r="C57" i="5"/>
  <c r="C54" i="9"/>
  <c r="BA3" i="4"/>
  <c r="BF3" i="2"/>
  <c r="BF3" i="3"/>
  <c r="AT3" i="3"/>
  <c r="F37" i="5"/>
  <c r="BB3" i="4"/>
  <c r="BF3" i="4"/>
  <c r="G37" i="5"/>
  <c r="G34" i="9"/>
  <c r="F34" i="9"/>
  <c r="D57" i="5"/>
  <c r="D54" i="9"/>
  <c r="D24" i="6"/>
  <c r="E24" i="6"/>
  <c r="C67" i="9"/>
  <c r="BE3" i="4"/>
  <c r="BE3" i="3"/>
  <c r="C37" i="6"/>
  <c r="C80" i="9"/>
  <c r="AO3" i="4"/>
  <c r="AP3" i="4"/>
  <c r="AP3" i="3"/>
  <c r="BC3" i="2"/>
  <c r="AQ3" i="3"/>
  <c r="AB3" i="4"/>
  <c r="AN3" i="3"/>
  <c r="AU3" i="2"/>
  <c r="AS3" i="4"/>
  <c r="C4" i="9"/>
  <c r="AR3" i="3"/>
  <c r="BH3" i="3"/>
  <c r="AW3" i="2"/>
  <c r="AN3" i="4"/>
  <c r="AM3" i="4"/>
  <c r="AE3" i="4"/>
  <c r="AC3" i="4"/>
  <c r="A18" i="2"/>
  <c r="A22" i="2"/>
  <c r="A16" i="2"/>
  <c r="A21" i="2"/>
  <c r="A25" i="2"/>
  <c r="A60" i="2"/>
  <c r="A64" i="2"/>
  <c r="A58" i="2"/>
  <c r="A48" i="2"/>
  <c r="A52" i="2"/>
  <c r="A59" i="2"/>
  <c r="A63" i="2"/>
  <c r="A67" i="2"/>
  <c r="A47" i="2"/>
  <c r="A51" i="2"/>
  <c r="D17" i="9"/>
  <c r="B34" i="6"/>
  <c r="B77" i="9"/>
  <c r="B61" i="9"/>
  <c r="F24" i="6"/>
  <c r="F67" i="9"/>
  <c r="E67" i="9"/>
  <c r="D67" i="9"/>
  <c r="C23" i="5"/>
  <c r="C28" i="5"/>
  <c r="AU3" i="4"/>
  <c r="BG3" i="2"/>
  <c r="AU3" i="3"/>
  <c r="AW3" i="4"/>
  <c r="BI3" i="2"/>
  <c r="AW3" i="3"/>
  <c r="BC3" i="3"/>
  <c r="BC3" i="4"/>
  <c r="B36" i="6"/>
  <c r="B79" i="9"/>
  <c r="C56" i="5"/>
  <c r="C61" i="5"/>
  <c r="C58" i="9"/>
  <c r="B39" i="6"/>
  <c r="B82" i="9"/>
  <c r="F13" i="4"/>
  <c r="B10" i="9"/>
  <c r="B26" i="6"/>
  <c r="B69" i="9"/>
  <c r="C45" i="5"/>
  <c r="B31" i="6"/>
  <c r="B74" i="9"/>
  <c r="G13" i="4"/>
  <c r="C13" i="4"/>
  <c r="B13" i="4"/>
  <c r="BG3" i="3"/>
  <c r="BG3" i="4"/>
  <c r="C15" i="5"/>
  <c r="E13" i="4"/>
  <c r="BI3" i="4"/>
  <c r="BI3" i="3"/>
  <c r="C53" i="9"/>
  <c r="G24" i="4"/>
  <c r="G29" i="4"/>
  <c r="F29" i="4"/>
  <c r="F24" i="4"/>
  <c r="C37" i="4"/>
  <c r="C42" i="9"/>
  <c r="C35" i="4"/>
  <c r="D23" i="5"/>
  <c r="D28" i="5"/>
  <c r="E24" i="4"/>
  <c r="E29" i="4"/>
  <c r="D13" i="4"/>
  <c r="C24" i="4"/>
  <c r="C29" i="4"/>
  <c r="C16" i="5"/>
  <c r="D15" i="5"/>
  <c r="B24" i="4"/>
  <c r="B37" i="4"/>
  <c r="B38" i="4"/>
  <c r="C38" i="4"/>
  <c r="B29" i="4"/>
  <c r="H13" i="4"/>
  <c r="B35" i="4"/>
  <c r="B19" i="9"/>
  <c r="B22" i="9"/>
  <c r="D16" i="5"/>
  <c r="E15" i="5"/>
  <c r="E57" i="5"/>
  <c r="E54" i="9"/>
  <c r="D37" i="6"/>
  <c r="D80" i="9"/>
  <c r="D24" i="4"/>
  <c r="J13" i="4"/>
  <c r="C41" i="4"/>
  <c r="C31" i="6"/>
  <c r="C74" i="9"/>
  <c r="D29" i="4"/>
  <c r="D35" i="4"/>
  <c r="F15" i="5"/>
  <c r="E16" i="5"/>
  <c r="I13" i="4"/>
  <c r="H24" i="4"/>
  <c r="H29" i="4"/>
  <c r="D56" i="5"/>
  <c r="C36" i="6"/>
  <c r="C79" i="9"/>
  <c r="C39" i="6"/>
  <c r="C82" i="9"/>
  <c r="D61" i="5"/>
  <c r="D58" i="9"/>
  <c r="D45" i="5"/>
  <c r="I24" i="4"/>
  <c r="D37" i="4"/>
  <c r="E23" i="5"/>
  <c r="E28" i="5"/>
  <c r="G15" i="5"/>
  <c r="F16" i="5"/>
  <c r="C46" i="5"/>
  <c r="C31" i="5"/>
  <c r="C10" i="5"/>
  <c r="C18" i="5"/>
  <c r="B41" i="4"/>
  <c r="J24" i="4"/>
  <c r="J29" i="4"/>
  <c r="D53" i="9"/>
  <c r="D42" i="9"/>
  <c r="B8" i="9"/>
  <c r="B9" i="9"/>
  <c r="K13" i="4"/>
  <c r="C33" i="5"/>
  <c r="C35" i="5"/>
  <c r="D31" i="5"/>
  <c r="D33" i="5"/>
  <c r="D35" i="5"/>
  <c r="D38" i="4"/>
  <c r="C43" i="9"/>
  <c r="C47" i="5"/>
  <c r="C44" i="9"/>
  <c r="G16" i="5"/>
  <c r="H15" i="5"/>
  <c r="C10" i="9"/>
  <c r="D10" i="5"/>
  <c r="D18" i="5"/>
  <c r="C26" i="6"/>
  <c r="C69" i="9"/>
  <c r="B44" i="4"/>
  <c r="B5" i="9"/>
  <c r="F57" i="5"/>
  <c r="F54" i="9"/>
  <c r="K24" i="4"/>
  <c r="B7" i="9"/>
  <c r="B12" i="9"/>
  <c r="B13" i="9"/>
  <c r="I29" i="4"/>
  <c r="H16" i="5"/>
  <c r="I15" i="5"/>
  <c r="E37" i="6"/>
  <c r="E80" i="9"/>
  <c r="L13" i="4"/>
  <c r="C19" i="9"/>
  <c r="C22" i="9"/>
  <c r="D31" i="6"/>
  <c r="D74" i="9"/>
  <c r="L24" i="4"/>
  <c r="L29" i="4"/>
  <c r="M13" i="4"/>
  <c r="F23" i="5"/>
  <c r="F28" i="5"/>
  <c r="B33" i="6"/>
  <c r="B76" i="9"/>
  <c r="C51" i="5"/>
  <c r="E37" i="4"/>
  <c r="J15" i="5"/>
  <c r="I16" i="5"/>
  <c r="E31" i="5"/>
  <c r="E33" i="5"/>
  <c r="E35" i="5"/>
  <c r="D41" i="4"/>
  <c r="B14" i="9"/>
  <c r="B24" i="9"/>
  <c r="B25" i="9"/>
  <c r="C39" i="5"/>
  <c r="C36" i="9"/>
  <c r="B28" i="6"/>
  <c r="B71" i="9"/>
  <c r="E56" i="5"/>
  <c r="D36" i="6"/>
  <c r="D79" i="9"/>
  <c r="D39" i="6"/>
  <c r="D82" i="9"/>
  <c r="E61" i="5"/>
  <c r="E58" i="9"/>
  <c r="E45" i="5"/>
  <c r="K29" i="4"/>
  <c r="C54" i="5"/>
  <c r="C48" i="9"/>
  <c r="N13" i="4"/>
  <c r="M24" i="4"/>
  <c r="K15" i="5"/>
  <c r="D46" i="5"/>
  <c r="J16" i="5"/>
  <c r="E38" i="4"/>
  <c r="B49" i="4"/>
  <c r="B50" i="4"/>
  <c r="E35" i="4"/>
  <c r="B46" i="4"/>
  <c r="B47" i="4"/>
  <c r="E53" i="9"/>
  <c r="E42" i="9"/>
  <c r="D47" i="5"/>
  <c r="D44" i="9"/>
  <c r="D43" i="9"/>
  <c r="N24" i="4"/>
  <c r="C40" i="5"/>
  <c r="C37" i="9"/>
  <c r="B29" i="6"/>
  <c r="B72" i="9"/>
  <c r="O13" i="4"/>
  <c r="K16" i="5"/>
  <c r="L15" i="5"/>
  <c r="E10" i="5"/>
  <c r="E18" i="5"/>
  <c r="B27" i="9"/>
  <c r="B29" i="9"/>
  <c r="B30" i="9"/>
  <c r="C51" i="9"/>
  <c r="C59" i="5"/>
  <c r="D10" i="9"/>
  <c r="D26" i="6"/>
  <c r="D69" i="9"/>
  <c r="G23" i="5"/>
  <c r="G28" i="5"/>
  <c r="M15" i="5"/>
  <c r="L16" i="5"/>
  <c r="O24" i="4"/>
  <c r="G57" i="5"/>
  <c r="G54" i="9"/>
  <c r="N29" i="4"/>
  <c r="C56" i="9"/>
  <c r="F35" i="4"/>
  <c r="M29" i="4"/>
  <c r="F37" i="6"/>
  <c r="F80" i="9"/>
  <c r="P13" i="4"/>
  <c r="F37" i="4"/>
  <c r="D19" i="9"/>
  <c r="D22" i="9"/>
  <c r="F38" i="4"/>
  <c r="O29" i="4"/>
  <c r="E31" i="6"/>
  <c r="E74" i="9"/>
  <c r="F31" i="5"/>
  <c r="E41" i="4"/>
  <c r="B52" i="4"/>
  <c r="B53" i="4"/>
  <c r="Q13" i="4"/>
  <c r="M16" i="5"/>
  <c r="N15" i="5"/>
  <c r="P24" i="4"/>
  <c r="P29" i="4"/>
  <c r="F56" i="5"/>
  <c r="E36" i="6"/>
  <c r="E79" i="9"/>
  <c r="F61" i="5"/>
  <c r="F58" i="9"/>
  <c r="E39" i="6"/>
  <c r="E82" i="9"/>
  <c r="F45" i="5"/>
  <c r="H23" i="5"/>
  <c r="H28" i="5"/>
  <c r="R13" i="4"/>
  <c r="O15" i="5"/>
  <c r="E46" i="5"/>
  <c r="N16" i="5"/>
  <c r="F33" i="5"/>
  <c r="F35" i="5"/>
  <c r="C62" i="5"/>
  <c r="Q24" i="4"/>
  <c r="B25" i="6"/>
  <c r="B68" i="9"/>
  <c r="F53" i="9"/>
  <c r="F42" i="9"/>
  <c r="G31" i="5"/>
  <c r="G33" i="5"/>
  <c r="G35" i="5"/>
  <c r="F41" i="4"/>
  <c r="S13" i="4"/>
  <c r="P15" i="5"/>
  <c r="O16" i="5"/>
  <c r="B42" i="6"/>
  <c r="B85" i="9"/>
  <c r="Q29" i="4"/>
  <c r="C59" i="9"/>
  <c r="C64" i="5"/>
  <c r="G35" i="4"/>
  <c r="E47" i="5"/>
  <c r="E44" i="9"/>
  <c r="E43" i="9"/>
  <c r="R24" i="4"/>
  <c r="R29" i="4"/>
  <c r="E10" i="9"/>
  <c r="E26" i="6"/>
  <c r="E69" i="9"/>
  <c r="C61" i="9"/>
  <c r="C66" i="5"/>
  <c r="C63" i="9"/>
  <c r="T13" i="4"/>
  <c r="P16" i="5"/>
  <c r="Q15" i="5"/>
  <c r="B43" i="6"/>
  <c r="G37" i="4"/>
  <c r="S24" i="4"/>
  <c r="S29" i="4"/>
  <c r="E19" i="9"/>
  <c r="E22" i="9"/>
  <c r="F31" i="6"/>
  <c r="F74" i="9"/>
  <c r="B86" i="9"/>
  <c r="U13" i="4"/>
  <c r="T24" i="4"/>
  <c r="G38" i="4"/>
  <c r="F10" i="5"/>
  <c r="F18" i="5"/>
  <c r="C38" i="5"/>
  <c r="G10" i="5"/>
  <c r="G18" i="5"/>
  <c r="Q16" i="5"/>
  <c r="R15" i="5"/>
  <c r="G56" i="5"/>
  <c r="F36" i="6"/>
  <c r="F79" i="9"/>
  <c r="F39" i="6"/>
  <c r="F82" i="9"/>
  <c r="G61" i="5"/>
  <c r="G58" i="9"/>
  <c r="G45" i="5"/>
  <c r="I23" i="5"/>
  <c r="I28" i="5"/>
  <c r="H31" i="5"/>
  <c r="H33" i="5"/>
  <c r="H35" i="5"/>
  <c r="G41" i="4"/>
  <c r="S15" i="5"/>
  <c r="F46" i="5"/>
  <c r="R16" i="5"/>
  <c r="C43" i="5"/>
  <c r="C35" i="9"/>
  <c r="V13" i="4"/>
  <c r="T29" i="4"/>
  <c r="U24" i="4"/>
  <c r="U29" i="4"/>
  <c r="G53" i="9"/>
  <c r="G42" i="9"/>
  <c r="H35" i="4"/>
  <c r="V24" i="4"/>
  <c r="V29" i="4"/>
  <c r="H37" i="4"/>
  <c r="C8" i="9"/>
  <c r="C9" i="9"/>
  <c r="W13" i="4"/>
  <c r="T15" i="5"/>
  <c r="S16" i="5"/>
  <c r="C40" i="9"/>
  <c r="C49" i="5"/>
  <c r="C46" i="9"/>
  <c r="F47" i="5"/>
  <c r="F44" i="9"/>
  <c r="F43" i="9"/>
  <c r="F26" i="6"/>
  <c r="F69" i="9"/>
  <c r="F10" i="9"/>
  <c r="C44" i="4"/>
  <c r="C5" i="9"/>
  <c r="H10" i="5"/>
  <c r="H18" i="5"/>
  <c r="U15" i="5"/>
  <c r="T16" i="5"/>
  <c r="W24" i="4"/>
  <c r="X13" i="4"/>
  <c r="H38" i="4"/>
  <c r="D51" i="5"/>
  <c r="C33" i="6"/>
  <c r="C76" i="9"/>
  <c r="J23" i="5"/>
  <c r="J28" i="5"/>
  <c r="C7" i="9"/>
  <c r="C12" i="9"/>
  <c r="C13" i="9"/>
  <c r="F19" i="9"/>
  <c r="F22" i="9"/>
  <c r="C14" i="9"/>
  <c r="C24" i="9"/>
  <c r="C25" i="9"/>
  <c r="I31" i="5"/>
  <c r="I33" i="5"/>
  <c r="I35" i="5"/>
  <c r="H41" i="4"/>
  <c r="W29" i="4"/>
  <c r="Y13" i="4"/>
  <c r="D54" i="5"/>
  <c r="D48" i="9"/>
  <c r="X29" i="4"/>
  <c r="X24" i="4"/>
  <c r="I37" i="4"/>
  <c r="U16" i="5"/>
  <c r="V15" i="5"/>
  <c r="D39" i="5"/>
  <c r="D36" i="9"/>
  <c r="C28" i="6"/>
  <c r="C71" i="9"/>
  <c r="V16" i="5"/>
  <c r="G46" i="5"/>
  <c r="I38" i="4"/>
  <c r="C49" i="4"/>
  <c r="C50" i="4"/>
  <c r="D51" i="9"/>
  <c r="D59" i="5"/>
  <c r="Z13" i="4"/>
  <c r="I35" i="4"/>
  <c r="C46" i="4"/>
  <c r="C47" i="4"/>
  <c r="C27" i="9"/>
  <c r="C29" i="9"/>
  <c r="C30" i="9"/>
  <c r="Y24" i="4"/>
  <c r="Y29" i="4"/>
  <c r="AA13" i="4"/>
  <c r="D40" i="5"/>
  <c r="D37" i="9"/>
  <c r="C29" i="6"/>
  <c r="C72" i="9"/>
  <c r="Z24" i="4"/>
  <c r="I10" i="5"/>
  <c r="I18" i="5"/>
  <c r="D56" i="9"/>
  <c r="G47" i="5"/>
  <c r="G44" i="9"/>
  <c r="G43" i="9"/>
  <c r="K23" i="5"/>
  <c r="K28" i="5"/>
  <c r="Z29" i="4"/>
  <c r="J31" i="5"/>
  <c r="I41" i="4"/>
  <c r="C52" i="4"/>
  <c r="C53" i="4"/>
  <c r="AA24" i="4"/>
  <c r="AB13" i="4"/>
  <c r="AA29" i="4"/>
  <c r="J35" i="4"/>
  <c r="C25" i="6"/>
  <c r="C68" i="9"/>
  <c r="AB24" i="4"/>
  <c r="AB29" i="4"/>
  <c r="J37" i="4"/>
  <c r="AC13" i="4"/>
  <c r="J33" i="5"/>
  <c r="J35" i="5"/>
  <c r="D62" i="5"/>
  <c r="AC24" i="4"/>
  <c r="D59" i="9"/>
  <c r="D64" i="5"/>
  <c r="L23" i="5"/>
  <c r="L28" i="5"/>
  <c r="J38" i="4"/>
  <c r="C42" i="6"/>
  <c r="AD13" i="4"/>
  <c r="AD24" i="4"/>
  <c r="AD29" i="4"/>
  <c r="D38" i="5"/>
  <c r="J10" i="5"/>
  <c r="J18" i="5"/>
  <c r="D61" i="9"/>
  <c r="D66" i="5"/>
  <c r="D63" i="9"/>
  <c r="AC29" i="4"/>
  <c r="K31" i="5"/>
  <c r="K33" i="5"/>
  <c r="K35" i="5"/>
  <c r="J41" i="4"/>
  <c r="C85" i="9"/>
  <c r="C43" i="6"/>
  <c r="AE13" i="4"/>
  <c r="AE24" i="4"/>
  <c r="C86" i="9"/>
  <c r="K37" i="4"/>
  <c r="D43" i="5"/>
  <c r="D35" i="9"/>
  <c r="K35" i="4"/>
  <c r="AF13" i="4"/>
  <c r="K10" i="5"/>
  <c r="K18" i="5"/>
  <c r="AG13" i="4"/>
  <c r="AG29" i="4"/>
  <c r="AG24" i="4"/>
  <c r="D40" i="9"/>
  <c r="D49" i="5"/>
  <c r="D46" i="9"/>
  <c r="AE29" i="4"/>
  <c r="AF24" i="4"/>
  <c r="K38" i="4"/>
  <c r="AF29" i="4"/>
  <c r="AH13" i="4"/>
  <c r="M23" i="5"/>
  <c r="M28" i="5"/>
  <c r="K41" i="4"/>
  <c r="L31" i="5"/>
  <c r="L33" i="5"/>
  <c r="L35" i="5"/>
  <c r="L10" i="5"/>
  <c r="L18" i="5"/>
  <c r="L37" i="4"/>
  <c r="AH24" i="4"/>
  <c r="AI13" i="4"/>
  <c r="L35" i="4"/>
  <c r="D9" i="9"/>
  <c r="D8" i="9"/>
  <c r="D44" i="4"/>
  <c r="D5" i="9"/>
  <c r="AJ13" i="4"/>
  <c r="AI24" i="4"/>
  <c r="AH29" i="4"/>
  <c r="L38" i="4"/>
  <c r="D7" i="9"/>
  <c r="D12" i="9"/>
  <c r="D13" i="9"/>
  <c r="AK13" i="4"/>
  <c r="D14" i="9"/>
  <c r="D24" i="9"/>
  <c r="L41" i="4"/>
  <c r="M31" i="5"/>
  <c r="M33" i="5"/>
  <c r="M35" i="5"/>
  <c r="AI29" i="4"/>
  <c r="AJ24" i="4"/>
  <c r="N23" i="5"/>
  <c r="N28" i="5"/>
  <c r="E51" i="5"/>
  <c r="D33" i="6"/>
  <c r="D76" i="9"/>
  <c r="E39" i="5"/>
  <c r="E36" i="9"/>
  <c r="D28" i="6"/>
  <c r="D71" i="9"/>
  <c r="AJ29" i="4"/>
  <c r="AM13" i="4"/>
  <c r="M10" i="5"/>
  <c r="M18" i="5"/>
  <c r="AK24" i="4"/>
  <c r="D27" i="9"/>
  <c r="AK29" i="4"/>
  <c r="M37" i="4"/>
  <c r="M35" i="4"/>
  <c r="D46" i="4"/>
  <c r="D47" i="4"/>
  <c r="E48" i="9"/>
  <c r="E54" i="5"/>
  <c r="AL13" i="4"/>
  <c r="D29" i="9"/>
  <c r="D30" i="9"/>
  <c r="D25" i="9"/>
  <c r="O23" i="5"/>
  <c r="O28" i="5"/>
  <c r="AL24" i="4"/>
  <c r="E51" i="9"/>
  <c r="E59" i="5"/>
  <c r="E40" i="5"/>
  <c r="E37" i="9"/>
  <c r="D29" i="6"/>
  <c r="D72" i="9"/>
  <c r="AM24" i="4"/>
  <c r="AM29" i="4"/>
  <c r="M38" i="4"/>
  <c r="D49" i="4"/>
  <c r="D50" i="4"/>
  <c r="M41" i="4"/>
  <c r="N31" i="5"/>
  <c r="D52" i="4"/>
  <c r="D53" i="4"/>
  <c r="AN13" i="4"/>
  <c r="AL29" i="4"/>
  <c r="E56" i="9"/>
  <c r="N35" i="4"/>
  <c r="N33" i="5"/>
  <c r="N35" i="5"/>
  <c r="E62" i="5"/>
  <c r="AO13" i="4"/>
  <c r="AN24" i="4"/>
  <c r="N37" i="4"/>
  <c r="D25" i="6"/>
  <c r="D68" i="9"/>
  <c r="AN29" i="4"/>
  <c r="P23" i="5"/>
  <c r="P28" i="5"/>
  <c r="N38" i="4"/>
  <c r="E64" i="5"/>
  <c r="E59" i="9"/>
  <c r="AP13" i="4"/>
  <c r="D42" i="6"/>
  <c r="AO24" i="4"/>
  <c r="D85" i="9"/>
  <c r="D43" i="6"/>
  <c r="AP29" i="4"/>
  <c r="AP24" i="4"/>
  <c r="E61" i="9"/>
  <c r="E66" i="5"/>
  <c r="E63" i="9"/>
  <c r="AO29" i="4"/>
  <c r="E38" i="5"/>
  <c r="N10" i="5"/>
  <c r="N18" i="5"/>
  <c r="AQ13" i="4"/>
  <c r="N41" i="4"/>
  <c r="O31" i="5"/>
  <c r="O33" i="5"/>
  <c r="O35" i="5"/>
  <c r="AR13" i="4"/>
  <c r="D86" i="9"/>
  <c r="AS13" i="4"/>
  <c r="O35" i="4"/>
  <c r="AQ24" i="4"/>
  <c r="O37" i="4"/>
  <c r="E43" i="5"/>
  <c r="E35" i="9"/>
  <c r="Q23" i="5"/>
  <c r="Q28" i="5"/>
  <c r="AQ29" i="4"/>
  <c r="AS29" i="4"/>
  <c r="AS24" i="4"/>
  <c r="P35" i="4"/>
  <c r="O38" i="4"/>
  <c r="O10" i="5"/>
  <c r="O18" i="5"/>
  <c r="E49" i="5"/>
  <c r="E46" i="9"/>
  <c r="E40" i="9"/>
  <c r="AR24" i="4"/>
  <c r="P37" i="4"/>
  <c r="P38" i="4"/>
  <c r="AT13" i="4"/>
  <c r="AR29" i="4"/>
  <c r="AT24" i="4"/>
  <c r="O41" i="4"/>
  <c r="P31" i="5"/>
  <c r="P33" i="5"/>
  <c r="P35" i="5"/>
  <c r="AT29" i="4"/>
  <c r="AU13" i="4"/>
  <c r="E9" i="9"/>
  <c r="E8" i="9"/>
  <c r="AV13" i="4"/>
  <c r="P10" i="5"/>
  <c r="P18" i="5"/>
  <c r="E7" i="9"/>
  <c r="E12" i="9"/>
  <c r="E44" i="4"/>
  <c r="E5" i="9"/>
  <c r="E13" i="9"/>
  <c r="P41" i="4"/>
  <c r="Q31" i="5"/>
  <c r="Q33" i="5"/>
  <c r="Q35" i="5"/>
  <c r="AU24" i="4"/>
  <c r="AU29" i="4"/>
  <c r="F39" i="5"/>
  <c r="F36" i="9"/>
  <c r="E28" i="6"/>
  <c r="E71" i="9"/>
  <c r="R23" i="5"/>
  <c r="R28" i="5"/>
  <c r="F51" i="5"/>
  <c r="E33" i="6"/>
  <c r="E76" i="9"/>
  <c r="AW13" i="4"/>
  <c r="AV24" i="4"/>
  <c r="AV29" i="4"/>
  <c r="E24" i="9"/>
  <c r="E25" i="9"/>
  <c r="E14" i="9"/>
  <c r="AX13" i="4"/>
  <c r="Q37" i="4"/>
  <c r="E27" i="9"/>
  <c r="E29" i="9"/>
  <c r="E30" i="9"/>
  <c r="AW24" i="4"/>
  <c r="Q35" i="4"/>
  <c r="E46" i="4"/>
  <c r="E47" i="4"/>
  <c r="F48" i="9"/>
  <c r="F54" i="5"/>
  <c r="Q10" i="5"/>
  <c r="Q18" i="5"/>
  <c r="AY13" i="4"/>
  <c r="F51" i="9"/>
  <c r="F59" i="5"/>
  <c r="F40" i="5"/>
  <c r="F37" i="9"/>
  <c r="E29" i="6"/>
  <c r="E72" i="9"/>
  <c r="Q38" i="4"/>
  <c r="E49" i="4"/>
  <c r="E50" i="4"/>
  <c r="AX24" i="4"/>
  <c r="R35" i="4"/>
  <c r="AZ13" i="4"/>
  <c r="AY24" i="4"/>
  <c r="AY29" i="4"/>
  <c r="AX29" i="4"/>
  <c r="S23" i="5"/>
  <c r="S28" i="5"/>
  <c r="AW29" i="4"/>
  <c r="F56" i="9"/>
  <c r="BA13" i="4"/>
  <c r="E52" i="4"/>
  <c r="E53" i="4"/>
  <c r="Q41" i="4"/>
  <c r="R31" i="5"/>
  <c r="R37" i="4"/>
  <c r="AZ24" i="4"/>
  <c r="AZ29" i="4"/>
  <c r="T23" i="5"/>
  <c r="T28" i="5"/>
  <c r="F62" i="5"/>
  <c r="R33" i="5"/>
  <c r="R35" i="5"/>
  <c r="BB13" i="4"/>
  <c r="R38" i="4"/>
  <c r="E25" i="6"/>
  <c r="E68" i="9"/>
  <c r="BA24" i="4"/>
  <c r="BA29" i="4"/>
  <c r="E42" i="6"/>
  <c r="BB29" i="4"/>
  <c r="BB24" i="4"/>
  <c r="R41" i="4"/>
  <c r="S31" i="5"/>
  <c r="S33" i="5"/>
  <c r="S35" i="5"/>
  <c r="BC13" i="4"/>
  <c r="F64" i="5"/>
  <c r="F59" i="9"/>
  <c r="BC24" i="4"/>
  <c r="S37" i="4"/>
  <c r="R10" i="5"/>
  <c r="R18" i="5"/>
  <c r="F38" i="5"/>
  <c r="S35" i="4"/>
  <c r="E85" i="9"/>
  <c r="E43" i="6"/>
  <c r="BD13" i="4"/>
  <c r="F61" i="9"/>
  <c r="F66" i="5"/>
  <c r="F63" i="9"/>
  <c r="BC29" i="4"/>
  <c r="BE13" i="4"/>
  <c r="BD24" i="4"/>
  <c r="F35" i="9"/>
  <c r="F43" i="5"/>
  <c r="S38" i="4"/>
  <c r="BF13" i="4"/>
  <c r="E86" i="9"/>
  <c r="S10" i="5"/>
  <c r="S18" i="5"/>
  <c r="U23" i="5"/>
  <c r="U28" i="5"/>
  <c r="T35" i="4"/>
  <c r="BE29" i="4"/>
  <c r="BE24" i="4"/>
  <c r="S41" i="4"/>
  <c r="T31" i="5"/>
  <c r="T33" i="5"/>
  <c r="T35" i="5"/>
  <c r="BF24" i="4"/>
  <c r="F40" i="9"/>
  <c r="F49" i="5"/>
  <c r="F46" i="9"/>
  <c r="T37" i="4"/>
  <c r="BD29" i="4"/>
  <c r="BF29" i="4"/>
  <c r="T38" i="4"/>
  <c r="F9" i="9"/>
  <c r="F8" i="9"/>
  <c r="BG13" i="4"/>
  <c r="BG24" i="4"/>
  <c r="F44" i="4"/>
  <c r="F5" i="9"/>
  <c r="F7" i="9"/>
  <c r="F12" i="9"/>
  <c r="F13" i="9"/>
  <c r="BH13" i="4"/>
  <c r="T41" i="4"/>
  <c r="U31" i="5"/>
  <c r="U33" i="5"/>
  <c r="U35" i="5"/>
  <c r="T10" i="5"/>
  <c r="T18" i="5"/>
  <c r="G51" i="5"/>
  <c r="F33" i="6"/>
  <c r="F76" i="9"/>
  <c r="V23" i="5"/>
  <c r="V28" i="5"/>
  <c r="BH29" i="4"/>
  <c r="BH24" i="4"/>
  <c r="F14" i="9"/>
  <c r="F24" i="9"/>
  <c r="G39" i="5"/>
  <c r="G36" i="9"/>
  <c r="F28" i="6"/>
  <c r="F71" i="9"/>
  <c r="BG29" i="4"/>
  <c r="BI13" i="4"/>
  <c r="U37" i="4"/>
  <c r="U35" i="4"/>
  <c r="F46" i="4"/>
  <c r="F47" i="4"/>
  <c r="U10" i="5"/>
  <c r="U18" i="5"/>
  <c r="U38" i="4"/>
  <c r="F49" i="4"/>
  <c r="F50" i="4"/>
  <c r="F27" i="9"/>
  <c r="BI24" i="4"/>
  <c r="F25" i="9"/>
  <c r="F29" i="9"/>
  <c r="F30" i="9"/>
  <c r="G54" i="5"/>
  <c r="G48" i="9"/>
  <c r="G51" i="9"/>
  <c r="G59" i="5"/>
  <c r="BI29" i="4"/>
  <c r="G40" i="5"/>
  <c r="G37" i="9"/>
  <c r="F29" i="6"/>
  <c r="F72" i="9"/>
  <c r="U41" i="4"/>
  <c r="V31" i="5"/>
  <c r="F52" i="4"/>
  <c r="F53" i="4"/>
  <c r="G56" i="9"/>
  <c r="F25" i="6"/>
  <c r="F68" i="9"/>
  <c r="V33" i="5"/>
  <c r="V35" i="5"/>
  <c r="G62" i="5"/>
  <c r="G59" i="9"/>
  <c r="G64" i="5"/>
  <c r="F42" i="6"/>
  <c r="F85" i="9"/>
  <c r="F43" i="6"/>
  <c r="F86" i="9"/>
  <c r="G61" i="9"/>
  <c r="G66" i="5"/>
  <c r="G63" i="9"/>
  <c r="V10" i="5"/>
  <c r="V18" i="5"/>
  <c r="G38" i="5"/>
  <c r="G43" i="5"/>
  <c r="G35" i="9"/>
  <c r="G40" i="9"/>
  <c r="G49" i="5"/>
  <c r="G46" i="9"/>
</calcChain>
</file>

<file path=xl/comments1.xml><?xml version="1.0" encoding="utf-8"?>
<comments xmlns="http://schemas.openxmlformats.org/spreadsheetml/2006/main">
  <authors>
    <author>David Connaughton</author>
  </authors>
  <commentList>
    <comment ref="C2" authorId="0">
      <text>
        <r>
          <rPr>
            <sz val="18"/>
            <color theme="1"/>
            <rFont val="Calibri"/>
            <family val="2"/>
            <scheme val="minor"/>
          </rPr>
          <t xml:space="preserve">Also know as an  'Income Statement.' A standard financial statement that presents revenue, costs, and resulting profits for one or more fiscal periods. Translation: how much money came in from all sources, and how much was spent for everyday operations. The temptation for entrepreneurs is to use credit and spend more than comes in, almost guaranteeing that your income will never get far ahead of the expenses.
</t>
        </r>
        <r>
          <rPr>
            <sz val="18"/>
            <color indexed="81"/>
            <rFont val="Arial"/>
          </rPr>
          <t xml:space="preserve">
</t>
        </r>
      </text>
    </comment>
    <comment ref="E6" authorId="0">
      <text>
        <r>
          <rPr>
            <b/>
            <sz val="18"/>
            <color indexed="81"/>
            <rFont val="Calibri"/>
          </rPr>
          <t xml:space="preserve">A standard financial statement that presents assets, liabilities, and equity at the end of a fiscal period (calendar year in this model). This statement describes what is owned (assets) and who owns them (creditors own the liabilities, you own the equity - your company's Owners Equity Net Worth). Balance refers to the fact that Assets are exactly equalled (balanced) by Liabilities and Equity - every penny of asset value has an owner.
</t>
        </r>
      </text>
    </comment>
  </commentList>
</comments>
</file>

<file path=xl/comments2.xml><?xml version="1.0" encoding="utf-8"?>
<comments xmlns="http://schemas.openxmlformats.org/spreadsheetml/2006/main">
  <authors>
    <author>Dave</author>
  </authors>
  <commentList>
    <comment ref="I33" authorId="0">
      <text>
        <r>
          <rPr>
            <b/>
            <sz val="11"/>
            <color indexed="81"/>
            <rFont val="Tahoma"/>
            <family val="2"/>
          </rPr>
          <t>Breakeven Point = Total Fixed Costs / (1 - (Total Variable Costs / Revenue))</t>
        </r>
      </text>
    </comment>
  </commentList>
</comments>
</file>

<file path=xl/comments3.xml><?xml version="1.0" encoding="utf-8"?>
<comments xmlns="http://schemas.openxmlformats.org/spreadsheetml/2006/main">
  <authors>
    <author>David</author>
  </authors>
  <commentList>
    <comment ref="J5" authorId="0">
      <text>
        <r>
          <rPr>
            <b/>
            <sz val="12"/>
            <color indexed="81"/>
            <rFont val="Tahoma"/>
            <family val="2"/>
          </rPr>
          <t>One of the key metrics investors consider before committing their funds is payback, or how long until the income covers the outgo. This can be considered on a pre-tax or after-tax basis, or based on cash flow, and on a raw or discounted basis. One of the clearest ways to portray an investment is on a cumulative payback curve, with investments shown as negative numbers and benefits as positive. By showing the cumulative cash flow over time it provides a sense of the timing, amount, and risks, and it helps set expectations against which to measure the actual results.</t>
        </r>
      </text>
    </comment>
    <comment ref="J14" authorId="0">
      <text>
        <r>
          <rPr>
            <b/>
            <sz val="12"/>
            <color indexed="81"/>
            <rFont val="Tahoma"/>
            <family val="2"/>
          </rPr>
          <t xml:space="preserve">The rate of interest assumed to represent the current cost of money. The future cash stream is 'discounted' at this rate to determine its value at any given future period. See also Net Present Value.
A related concept is 'Hurdle Rate,' an organization's minimum rate of return required of all investments. If the estimated return falls below that rate, the investment will be rejected. </t>
        </r>
      </text>
    </comment>
    <comment ref="J19" authorId="0">
      <text>
        <r>
          <rPr>
            <b/>
            <sz val="12"/>
            <color indexed="81"/>
            <rFont val="Tahoma"/>
            <family val="2"/>
          </rPr>
          <t xml:space="preserve">The rate of interest assumed to represent the current cost of money. The future cash stream is 'discounted' at this rate to determine its value at any given future period. See also Net Present Value.
A related concept is 'Hurdle Rate,' an organization's minimum rate of return required of all investments. If the estimated return falls below that rate, the investment will be rejected. </t>
        </r>
      </text>
    </comment>
    <comment ref="B31" authorId="0">
      <text>
        <r>
          <rPr>
            <b/>
            <sz val="12"/>
            <color indexed="81"/>
            <rFont val="Tahoma"/>
            <family val="2"/>
          </rPr>
          <t>Internal Rate of Return (IRR): This is the discount rate at which Net Present Value equals zero, meaning that the sum of the discounted payments received in the future equal the initial investment paid out. IRR is always an approximation and an average over time when the payments received vary from period to period. IRR is calculated using the Net Present Value formula iteratively to find a discount rate that results in an NPV very close to zero. Ever tighter ranges are possible, but the accuracy is spurious and the calculation time would increase. IRR can be calculated on any period basis, then annualized to approximate one year, to ensure that every cash transaction gets full consideration.</t>
        </r>
      </text>
    </comment>
    <comment ref="B33" authorId="0">
      <text>
        <r>
          <rPr>
            <b/>
            <sz val="12"/>
            <color indexed="81"/>
            <rFont val="Tahoma"/>
            <family val="2"/>
          </rPr>
          <t xml:space="preserve">Net Present Value (NPV): NPV is the value in today’s currency of a stream of cash inflows and outflows, at a given discount rate. Typically, NPV is used to evaluate investments, with a cash outflow (investment) in the initial period, followed by cash inflows (returns) in a number of future periods. The discount rate devalues the future payments increasingly as time goes by, so that a payment received in the far distant future is considered less valuable than the same payment would have been earlier. 
     NPV is calculated as follows: 
          NPV = Investment - ∑Paymentn x Period Discount Raten
     where n is the selected period and Period Discount Raten = (1 – Discount Rate) ^ Period n.
</t>
        </r>
      </text>
    </comment>
  </commentList>
</comments>
</file>

<file path=xl/sharedStrings.xml><?xml version="1.0" encoding="utf-8"?>
<sst xmlns="http://schemas.openxmlformats.org/spreadsheetml/2006/main" count="331" uniqueCount="237">
  <si>
    <t>Products by Unit</t>
  </si>
  <si>
    <t>Product 1</t>
  </si>
  <si>
    <t>Product 2</t>
  </si>
  <si>
    <t>Product 3</t>
  </si>
  <si>
    <t>Product 4</t>
  </si>
  <si>
    <t>Product 5</t>
  </si>
  <si>
    <t>Product 6</t>
  </si>
  <si>
    <t>Product 7</t>
  </si>
  <si>
    <t>Product 8</t>
  </si>
  <si>
    <t>Product 9</t>
  </si>
  <si>
    <t>Product 10</t>
  </si>
  <si>
    <t>Material</t>
  </si>
  <si>
    <t>Labor</t>
  </si>
  <si>
    <t>Factory</t>
  </si>
  <si>
    <t>TOTAL</t>
  </si>
  <si>
    <t>Jan</t>
  </si>
  <si>
    <t>Feb</t>
  </si>
  <si>
    <t>Mar</t>
  </si>
  <si>
    <t>Apr</t>
  </si>
  <si>
    <t>May</t>
  </si>
  <si>
    <t>Jun</t>
  </si>
  <si>
    <t>Jul</t>
  </si>
  <si>
    <t>Aug</t>
  </si>
  <si>
    <t>Sep</t>
  </si>
  <si>
    <t>Oct</t>
  </si>
  <si>
    <t>Nov</t>
  </si>
  <si>
    <t>Dec</t>
  </si>
  <si>
    <t>UNITS SALES</t>
  </si>
  <si>
    <t>Revenue</t>
  </si>
  <si>
    <t>Cost of Goods Sold</t>
  </si>
  <si>
    <t>Factory O/H</t>
  </si>
  <si>
    <t>First Year</t>
  </si>
  <si>
    <t>Corporate Overhead</t>
  </si>
  <si>
    <t>G&amp;A 1</t>
  </si>
  <si>
    <t>G&amp;A 2</t>
  </si>
  <si>
    <t>G&amp;A 3</t>
  </si>
  <si>
    <t>G&amp;A 4</t>
  </si>
  <si>
    <t>G&amp;A 5</t>
  </si>
  <si>
    <t>TOTAL G&amp;A</t>
  </si>
  <si>
    <t>TOTAL Mktg &amp; Sales</t>
  </si>
  <si>
    <t>Mktg &amp; Sales 1</t>
  </si>
  <si>
    <t>Mktg &amp; Sales 2</t>
  </si>
  <si>
    <t>Mktg &amp; Sales 3</t>
  </si>
  <si>
    <t>Mktg &amp; Sales 4</t>
  </si>
  <si>
    <t>Mktg &amp; Sales 5</t>
  </si>
  <si>
    <t>R&amp;D 1</t>
  </si>
  <si>
    <t>R&amp;D 2</t>
  </si>
  <si>
    <t>R&amp;D 3</t>
  </si>
  <si>
    <t>R&amp;D 4</t>
  </si>
  <si>
    <t>R&amp;D 5</t>
  </si>
  <si>
    <t>TOTAL R&amp;D</t>
  </si>
  <si>
    <t>Other 1</t>
  </si>
  <si>
    <t>Other 2</t>
  </si>
  <si>
    <t>Other 3</t>
  </si>
  <si>
    <t>Other 4</t>
  </si>
  <si>
    <t>Other 5</t>
  </si>
  <si>
    <t>First Month</t>
  </si>
  <si>
    <t>Mos</t>
  </si>
  <si>
    <t>Direct Material</t>
  </si>
  <si>
    <t>Direct Labor</t>
  </si>
  <si>
    <t>Direct Factory O/H</t>
  </si>
  <si>
    <t>G&amp;A</t>
  </si>
  <si>
    <t>M&amp;S</t>
  </si>
  <si>
    <t>R&amp;D</t>
  </si>
  <si>
    <t>Other</t>
  </si>
  <si>
    <t>Gross Profit</t>
  </si>
  <si>
    <t>Gross Margin %</t>
  </si>
  <si>
    <t>Net Profit</t>
  </si>
  <si>
    <t>Net Profit %</t>
  </si>
  <si>
    <t>Tax Rate</t>
  </si>
  <si>
    <t>Tax</t>
  </si>
  <si>
    <t>Net Profit After Tax</t>
  </si>
  <si>
    <t>NPAT %</t>
  </si>
  <si>
    <t>TOTAL OTHER</t>
  </si>
  <si>
    <t>TOTAL MATERIAL</t>
  </si>
  <si>
    <t>TOTAL REVENUE</t>
  </si>
  <si>
    <t>TOTAL LABOR</t>
  </si>
  <si>
    <t>TOTAL FACTORY O/H</t>
  </si>
  <si>
    <t>Net by Quarter</t>
  </si>
  <si>
    <t>%</t>
  </si>
  <si>
    <t>Gross by Quarter</t>
  </si>
  <si>
    <t>NPAT by Quarter</t>
  </si>
  <si>
    <t>Gross by Year</t>
  </si>
  <si>
    <t>Revenue by Quarter</t>
  </si>
  <si>
    <t>Revenue by Year</t>
  </si>
  <si>
    <t>Net by Year</t>
  </si>
  <si>
    <t>NPAT by Year</t>
  </si>
  <si>
    <t>Q1</t>
  </si>
  <si>
    <t>Q2</t>
  </si>
  <si>
    <t>Q3</t>
  </si>
  <si>
    <t>Q4</t>
  </si>
  <si>
    <t>Cash</t>
  </si>
  <si>
    <t>Accounts Receivable</t>
  </si>
  <si>
    <t>Inventories</t>
  </si>
  <si>
    <t>Other Current</t>
  </si>
  <si>
    <t>Total Current</t>
  </si>
  <si>
    <t>Fixed Assets</t>
  </si>
  <si>
    <t>Less: Accum Deprec</t>
  </si>
  <si>
    <t>Net Fixed Assets</t>
  </si>
  <si>
    <t>Total Assets</t>
  </si>
  <si>
    <t>Accounts Payable</t>
  </si>
  <si>
    <t>Other Current Lia</t>
  </si>
  <si>
    <t>Total Current Lia</t>
  </si>
  <si>
    <t>Notes Payable</t>
  </si>
  <si>
    <t>Other Long Term</t>
  </si>
  <si>
    <t>Total Liabilities</t>
  </si>
  <si>
    <t>Paid In Capital</t>
  </si>
  <si>
    <t>Total Equity</t>
  </si>
  <si>
    <t>Total Lia &amp; Equity</t>
  </si>
  <si>
    <t>Retained Earnings</t>
  </si>
  <si>
    <t>A/R</t>
  </si>
  <si>
    <t>Inventory</t>
  </si>
  <si>
    <t>A/P</t>
  </si>
  <si>
    <t>Ratios to Annual Revenue</t>
  </si>
  <si>
    <t>Ratio to Annual Materials</t>
  </si>
  <si>
    <t>Ratio to Annual COGS</t>
  </si>
  <si>
    <t>Y/E</t>
  </si>
  <si>
    <t>Depreciation</t>
  </si>
  <si>
    <t>Interest</t>
  </si>
  <si>
    <t>Interest on Notes</t>
  </si>
  <si>
    <t>Depreciation Years</t>
  </si>
  <si>
    <t>(Straight Line)</t>
  </si>
  <si>
    <t>Other Current Long Term</t>
  </si>
  <si>
    <t>Net Cash</t>
  </si>
  <si>
    <t>Cumulative Cash</t>
  </si>
  <si>
    <t>Prior</t>
  </si>
  <si>
    <t>Dividends</t>
  </si>
  <si>
    <t>Unit Price</t>
  </si>
  <si>
    <t>Unit Labor</t>
  </si>
  <si>
    <t>Fixed Asset Purchases</t>
  </si>
  <si>
    <t>Item Unit Cost</t>
  </si>
  <si>
    <t>Units per Product</t>
  </si>
  <si>
    <t>Asset 1</t>
  </si>
  <si>
    <t>Asset 2</t>
  </si>
  <si>
    <t>Asset 3</t>
  </si>
  <si>
    <t>Asset 4</t>
  </si>
  <si>
    <t>Asset 5</t>
  </si>
  <si>
    <t>Asset 6</t>
  </si>
  <si>
    <t>Asset 7</t>
  </si>
  <si>
    <t>Asset 8</t>
  </si>
  <si>
    <t>Asset 9</t>
  </si>
  <si>
    <t>Asset 10</t>
  </si>
  <si>
    <t>Date</t>
  </si>
  <si>
    <t>Investment</t>
  </si>
  <si>
    <t>Bank Loans</t>
  </si>
  <si>
    <t>Loan 1</t>
  </si>
  <si>
    <t>Loan 2</t>
  </si>
  <si>
    <t>Loan 3</t>
  </si>
  <si>
    <t>Loan 4</t>
  </si>
  <si>
    <t>Calc Depreciation</t>
  </si>
  <si>
    <t>Calc Cum Depreciation</t>
  </si>
  <si>
    <t>Company Name</t>
  </si>
  <si>
    <t>Write Company Name Here</t>
  </si>
  <si>
    <t>Direct Cost Element</t>
  </si>
  <si>
    <t>Cost Per Unit</t>
  </si>
  <si>
    <t>Overhead Cost Element</t>
  </si>
  <si>
    <t>Cost per Month</t>
  </si>
  <si>
    <t>Material 1</t>
  </si>
  <si>
    <t>Rent</t>
  </si>
  <si>
    <t>Material 2</t>
  </si>
  <si>
    <t>Gas, Electric Utilities</t>
  </si>
  <si>
    <t>Material 3</t>
  </si>
  <si>
    <t>Phone</t>
  </si>
  <si>
    <t>Material 4</t>
  </si>
  <si>
    <t>Internet</t>
  </si>
  <si>
    <t>Material 5</t>
  </si>
  <si>
    <t>Insurance</t>
  </si>
  <si>
    <t>Material 6</t>
  </si>
  <si>
    <t>Office Supplies</t>
  </si>
  <si>
    <t>Material 7</t>
  </si>
  <si>
    <t>Advertising</t>
  </si>
  <si>
    <t>Material 8</t>
  </si>
  <si>
    <t>Material 9</t>
  </si>
  <si>
    <t>Other Overhead (per month) 1</t>
  </si>
  <si>
    <t>Material 10</t>
  </si>
  <si>
    <t>Other Overhead (per month) 2</t>
  </si>
  <si>
    <t>Labor Job 1</t>
  </si>
  <si>
    <t>Other Overhead (per month) 3</t>
  </si>
  <si>
    <t>Labor Job 2</t>
  </si>
  <si>
    <t>Other Overhead (per month) 4</t>
  </si>
  <si>
    <t>Labor Job 3</t>
  </si>
  <si>
    <t>Other Overhead (per month) 5</t>
  </si>
  <si>
    <t>Labor Job 4</t>
  </si>
  <si>
    <t>Other Overhead (per month) 6</t>
  </si>
  <si>
    <t>Labor Job 5</t>
  </si>
  <si>
    <t>Other Overhead (per month) 7</t>
  </si>
  <si>
    <t>Factory Supplies</t>
  </si>
  <si>
    <t>Other Overhead (per month) 8</t>
  </si>
  <si>
    <t>Factory Energy</t>
  </si>
  <si>
    <t>Other Overhead (per month) 9</t>
  </si>
  <si>
    <t>Other Overhead (per unit)</t>
  </si>
  <si>
    <t>Other Overhead (per month) 10</t>
  </si>
  <si>
    <t>Estimated Annual</t>
  </si>
  <si>
    <t>Volume</t>
  </si>
  <si>
    <t>P&amp;L</t>
  </si>
  <si>
    <t>Sales</t>
  </si>
  <si>
    <t>Total</t>
  </si>
  <si>
    <t>Price</t>
  </si>
  <si>
    <t>Variable Cost</t>
  </si>
  <si>
    <t>Factory Overhead</t>
  </si>
  <si>
    <t>Variable</t>
  </si>
  <si>
    <t>Fixed Cost</t>
  </si>
  <si>
    <t>Other Overhead</t>
  </si>
  <si>
    <t>Fixed</t>
  </si>
  <si>
    <t>Total Cost</t>
  </si>
  <si>
    <t>Units</t>
  </si>
  <si>
    <t>Profit</t>
  </si>
  <si>
    <t>Profit at</t>
  </si>
  <si>
    <t>units =</t>
  </si>
  <si>
    <t>Breakeven occurs at</t>
  </si>
  <si>
    <t>units</t>
  </si>
  <si>
    <t>Fixed Costs</t>
  </si>
  <si>
    <t>Variable Costs</t>
  </si>
  <si>
    <t>Best Case</t>
  </si>
  <si>
    <t>For IRR and NPV</t>
  </si>
  <si>
    <t>For Chart</t>
  </si>
  <si>
    <t>Controls</t>
  </si>
  <si>
    <t>Plan</t>
  </si>
  <si>
    <t>IRR</t>
  </si>
  <si>
    <t>Cumulative Payback</t>
  </si>
  <si>
    <t>5 YEAR CUMULATIVE CASH FLOW</t>
  </si>
  <si>
    <t>Expected Case</t>
  </si>
  <si>
    <t>Quarterly Discount Rate</t>
  </si>
  <si>
    <t xml:space="preserve">                   $</t>
  </si>
  <si>
    <t>Worst Case</t>
  </si>
  <si>
    <t>All Cases</t>
  </si>
  <si>
    <t>P&amp;L Statement</t>
  </si>
  <si>
    <t>Balance Sheet</t>
  </si>
  <si>
    <t>$</t>
  </si>
  <si>
    <t>Sales General &amp; Admin</t>
  </si>
  <si>
    <t>Margin</t>
  </si>
  <si>
    <t>Mat'ls &amp; Supplies</t>
  </si>
  <si>
    <t>Per Unit</t>
  </si>
  <si>
    <t>Sources of Cash</t>
  </si>
  <si>
    <t>Uses of Cash</t>
  </si>
  <si>
    <t>Material Cost</t>
  </si>
  <si>
    <t>TOTAL Material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</si>
</sst>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_(* #,##0_);_(* \(#,##0\);_(* &quot;-&quot;??_);_(@_)"/>
    <numFmt numFmtId="166" formatCode="0.0%"/>
    <numFmt numFmtId="167" formatCode="&quot;$&quot;#,##0\ ;\(&quot;$&quot;#,##0\)"/>
    <numFmt numFmtId="168" formatCode="_([$€-2]* #,##0.00_);_([$€-2]* \(#,##0.00\);_([$€-2]* &quot;-&quot;??_)"/>
    <numFmt numFmtId="169" formatCode="###0.000_);[Red]\(###0.000\)"/>
    <numFmt numFmtId="170" formatCode="_-* #,##0_-;\-* #,##0_-;_-* &quot;-&quot;??_-;_-@_-"/>
    <numFmt numFmtId="171" formatCode="_(&quot;$&quot;* #,##0.00_);_(&quot;$&quot;* \(#,##0.00\);_(&quot;$&quot;* &quot;-&quot;??_);_(@_)"/>
    <numFmt numFmtId="172" formatCode="_(* #,##0.0_);_(* \(#,##0.0\);_(* &quot;-&quot;??_);_(@_)"/>
    <numFmt numFmtId="173" formatCode="_(&quot;$&quot;* #,##0_);_(&quot;$&quot;* \(#,##0\);_(&quot;$&quot;* &quot;-&quot;??_);_(@_)"/>
  </numFmts>
  <fonts count="53"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0"/>
      <color indexed="21"/>
      <name val="Arial"/>
      <family val="2"/>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1"/>
      <color theme="1"/>
      <name val="Calibri"/>
      <family val="2"/>
      <scheme val="minor"/>
    </font>
    <font>
      <b/>
      <sz val="14"/>
      <color theme="1"/>
      <name val="Arial"/>
    </font>
    <font>
      <sz val="11"/>
      <color theme="1"/>
      <name val="Arial"/>
    </font>
    <font>
      <b/>
      <sz val="16"/>
      <color theme="1"/>
      <name val="Arial"/>
    </font>
    <font>
      <sz val="16"/>
      <color theme="1"/>
      <name val="Arial"/>
    </font>
    <font>
      <b/>
      <i/>
      <u/>
      <sz val="22"/>
      <color theme="1"/>
      <name val="Arial"/>
    </font>
    <font>
      <b/>
      <sz val="14"/>
      <color theme="0"/>
      <name val="Arial"/>
    </font>
    <font>
      <b/>
      <sz val="14"/>
      <name val="Arial"/>
    </font>
    <font>
      <u/>
      <sz val="11"/>
      <color theme="10"/>
      <name val="Calibri"/>
      <family val="2"/>
      <scheme val="minor"/>
    </font>
    <font>
      <u/>
      <sz val="11"/>
      <color theme="11"/>
      <name val="Calibri"/>
      <family val="2"/>
      <scheme val="minor"/>
    </font>
    <font>
      <sz val="8"/>
      <name val="Calibri"/>
      <family val="2"/>
      <scheme val="minor"/>
    </font>
    <font>
      <sz val="11"/>
      <name val="Arial"/>
      <family val="2"/>
    </font>
    <font>
      <b/>
      <i/>
      <shadow/>
      <sz val="28"/>
      <name val="Arial"/>
      <family val="2"/>
    </font>
    <font>
      <b/>
      <sz val="18"/>
      <name val="Arial"/>
    </font>
    <font>
      <sz val="18"/>
      <name val="Arial"/>
      <family val="2"/>
    </font>
    <font>
      <b/>
      <sz val="11"/>
      <name val="Arial"/>
      <family val="2"/>
    </font>
    <font>
      <sz val="18"/>
      <color indexed="81"/>
      <name val="Arial"/>
    </font>
    <font>
      <b/>
      <i/>
      <sz val="18"/>
      <name val="Arial"/>
      <family val="2"/>
    </font>
    <font>
      <b/>
      <i/>
      <sz val="14"/>
      <name val="Arial"/>
      <family val="2"/>
    </font>
    <font>
      <sz val="10"/>
      <color theme="3" tint="0.79998168889431442"/>
      <name val="Arial"/>
    </font>
    <font>
      <b/>
      <sz val="11"/>
      <color indexed="81"/>
      <name val="Tahoma"/>
      <family val="2"/>
    </font>
    <font>
      <sz val="12"/>
      <name val="Arial"/>
      <family val="2"/>
    </font>
    <font>
      <b/>
      <sz val="12"/>
      <color indexed="81"/>
      <name val="Tahoma"/>
      <family val="2"/>
    </font>
    <font>
      <sz val="10"/>
      <color theme="0"/>
      <name val="Arial"/>
      <family val="2"/>
    </font>
    <font>
      <b/>
      <i/>
      <u/>
      <sz val="14"/>
      <color theme="0"/>
      <name val="Arial"/>
      <family val="2"/>
    </font>
    <font>
      <b/>
      <i/>
      <sz val="14"/>
      <color theme="0"/>
      <name val="Arial"/>
      <family val="2"/>
    </font>
    <font>
      <b/>
      <i/>
      <sz val="24"/>
      <name val="Arial"/>
      <family val="2"/>
    </font>
    <font>
      <b/>
      <i/>
      <sz val="16"/>
      <name val="Arial"/>
      <family val="2"/>
    </font>
    <font>
      <b/>
      <i/>
      <u/>
      <sz val="18"/>
      <color theme="0"/>
      <name val="Arial"/>
    </font>
    <font>
      <b/>
      <i/>
      <sz val="20"/>
      <name val="Arial"/>
    </font>
    <font>
      <b/>
      <sz val="18"/>
      <color indexed="81"/>
      <name val="Calibri"/>
    </font>
    <font>
      <sz val="18"/>
      <color theme="1"/>
      <name val="Calibri"/>
      <family val="2"/>
      <scheme val="minor"/>
    </font>
    <font>
      <sz val="12"/>
      <color theme="1"/>
      <name val="Arial"/>
    </font>
    <font>
      <sz val="16"/>
      <name val="Arial"/>
      <family val="2"/>
    </font>
    <font>
      <b/>
      <sz val="16"/>
      <name val="Arial"/>
      <family val="2"/>
    </font>
    <font>
      <sz val="12"/>
      <color theme="3" tint="0.79998168889431442"/>
      <name val="Arial"/>
    </font>
    <font>
      <b/>
      <i/>
      <sz val="18"/>
      <color theme="1"/>
      <name val="Arial"/>
    </font>
  </fonts>
  <fills count="30">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497CBC"/>
        <bgColor indexed="64"/>
      </patternFill>
    </fill>
  </fills>
  <borders count="27">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8">
    <xf numFmtId="0" fontId="0" fillId="0" borderId="0"/>
    <xf numFmtId="0" fontId="3" fillId="0" borderId="0"/>
    <xf numFmtId="0" fontId="3" fillId="0" borderId="0"/>
    <xf numFmtId="164" fontId="16" fillId="0" borderId="0" applyFont="0" applyFill="0" applyBorder="0" applyAlignment="0" applyProtection="0"/>
    <xf numFmtId="3"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168" fontId="3" fillId="0" borderId="0" applyFont="0" applyFill="0" applyBorder="0" applyAlignment="0" applyProtection="0"/>
    <xf numFmtId="2" fontId="5" fillId="0" borderId="0" applyFont="0" applyFill="0" applyBorder="0" applyAlignment="0" applyProtection="0"/>
    <xf numFmtId="38" fontId="6" fillId="10" borderId="0" applyNumberFormat="0" applyBorder="0" applyAlignment="0" applyProtection="0"/>
    <xf numFmtId="0" fontId="7" fillId="0" borderId="0"/>
    <xf numFmtId="0" fontId="8" fillId="0" borderId="1" applyNumberFormat="0" applyAlignment="0" applyProtection="0">
      <alignment horizontal="left" vertical="center"/>
    </xf>
    <xf numFmtId="0" fontId="8" fillId="0" borderId="2">
      <alignment horizontal="left" vertical="center"/>
    </xf>
    <xf numFmtId="10" fontId="6" fillId="11" borderId="3" applyNumberFormat="0" applyBorder="0" applyAlignment="0" applyProtection="0"/>
    <xf numFmtId="169" fontId="3" fillId="0" borderId="0"/>
    <xf numFmtId="0" fontId="3" fillId="0" borderId="0"/>
    <xf numFmtId="9" fontId="16" fillId="0" borderId="0" applyFont="0" applyFill="0" applyBorder="0" applyAlignment="0" applyProtection="0"/>
    <xf numFmtId="10" fontId="3" fillId="0" borderId="0" applyFont="0" applyFill="0" applyBorder="0" applyAlignment="0" applyProtection="0"/>
    <xf numFmtId="4" fontId="9" fillId="12" borderId="4" applyNumberFormat="0" applyProtection="0">
      <alignment vertical="center"/>
    </xf>
    <xf numFmtId="4" fontId="10" fillId="13" borderId="4" applyNumberFormat="0" applyProtection="0">
      <alignment vertical="center"/>
    </xf>
    <xf numFmtId="4" fontId="9" fillId="13" borderId="4" applyNumberFormat="0" applyProtection="0">
      <alignment horizontal="left" vertical="center" indent="1"/>
    </xf>
    <xf numFmtId="0" fontId="9" fillId="13" borderId="4" applyNumberFormat="0" applyProtection="0">
      <alignment horizontal="left" vertical="top" indent="1"/>
    </xf>
    <xf numFmtId="4" fontId="9" fillId="14" borderId="0" applyNumberFormat="0" applyProtection="0">
      <alignment horizontal="left" vertical="center" indent="1"/>
    </xf>
    <xf numFmtId="4" fontId="11" fillId="2" borderId="4" applyNumberFormat="0" applyProtection="0">
      <alignment horizontal="right" vertical="center"/>
    </xf>
    <xf numFmtId="4" fontId="11" fillId="3" borderId="4" applyNumberFormat="0" applyProtection="0">
      <alignment horizontal="right" vertical="center"/>
    </xf>
    <xf numFmtId="4" fontId="11" fillId="7" borderId="4" applyNumberFormat="0" applyProtection="0">
      <alignment horizontal="right" vertical="center"/>
    </xf>
    <xf numFmtId="4" fontId="11" fillId="5" borderId="4" applyNumberFormat="0" applyProtection="0">
      <alignment horizontal="right" vertical="center"/>
    </xf>
    <xf numFmtId="4" fontId="11" fillId="6" borderId="4" applyNumberFormat="0" applyProtection="0">
      <alignment horizontal="right" vertical="center"/>
    </xf>
    <xf numFmtId="4" fontId="11" fillId="9" borderId="4" applyNumberFormat="0" applyProtection="0">
      <alignment horizontal="right" vertical="center"/>
    </xf>
    <xf numFmtId="4" fontId="11" fillId="8" borderId="4" applyNumberFormat="0" applyProtection="0">
      <alignment horizontal="right" vertical="center"/>
    </xf>
    <xf numFmtId="4" fontId="11" fillId="15" borderId="4" applyNumberFormat="0" applyProtection="0">
      <alignment horizontal="right" vertical="center"/>
    </xf>
    <xf numFmtId="4" fontId="11" fillId="4" borderId="4" applyNumberFormat="0" applyProtection="0">
      <alignment horizontal="right" vertical="center"/>
    </xf>
    <xf numFmtId="4" fontId="9" fillId="16" borderId="5" applyNumberFormat="0" applyProtection="0">
      <alignment horizontal="left" vertical="center" indent="1"/>
    </xf>
    <xf numFmtId="4" fontId="11" fillId="17" borderId="0" applyNumberFormat="0" applyProtection="0">
      <alignment horizontal="left" vertical="center" indent="1"/>
    </xf>
    <xf numFmtId="4" fontId="12" fillId="18" borderId="0" applyNumberFormat="0" applyProtection="0">
      <alignment horizontal="left" vertical="center" indent="1"/>
    </xf>
    <xf numFmtId="4" fontId="11" fillId="19" borderId="4" applyNumberFormat="0" applyProtection="0">
      <alignment horizontal="right" vertical="center"/>
    </xf>
    <xf numFmtId="4" fontId="11" fillId="17" borderId="0" applyNumberFormat="0" applyProtection="0">
      <alignment horizontal="left" vertical="center" indent="1"/>
    </xf>
    <xf numFmtId="4" fontId="11" fillId="14" borderId="0" applyNumberFormat="0" applyProtection="0">
      <alignment horizontal="left" vertical="center" indent="1"/>
    </xf>
    <xf numFmtId="0" fontId="3" fillId="18" borderId="4" applyNumberFormat="0" applyProtection="0">
      <alignment horizontal="left" vertical="center" indent="1"/>
    </xf>
    <xf numFmtId="0" fontId="3" fillId="18" borderId="4" applyNumberFormat="0" applyProtection="0">
      <alignment horizontal="left" vertical="top" indent="1"/>
    </xf>
    <xf numFmtId="0" fontId="3" fillId="14" borderId="4" applyNumberFormat="0" applyProtection="0">
      <alignment horizontal="left" vertical="center" indent="1"/>
    </xf>
    <xf numFmtId="0" fontId="3" fillId="14" borderId="4" applyNumberFormat="0" applyProtection="0">
      <alignment horizontal="left" vertical="top" indent="1"/>
    </xf>
    <xf numFmtId="0" fontId="3" fillId="20" borderId="4" applyNumberFormat="0" applyProtection="0">
      <alignment horizontal="left" vertical="center" indent="1"/>
    </xf>
    <xf numFmtId="0" fontId="3" fillId="20" borderId="4" applyNumberFormat="0" applyProtection="0">
      <alignment horizontal="left" vertical="top" indent="1"/>
    </xf>
    <xf numFmtId="0" fontId="3" fillId="21" borderId="4" applyNumberFormat="0" applyProtection="0">
      <alignment horizontal="left" vertical="center" indent="1"/>
    </xf>
    <xf numFmtId="0" fontId="3" fillId="21" borderId="4" applyNumberFormat="0" applyProtection="0">
      <alignment horizontal="left" vertical="top" indent="1"/>
    </xf>
    <xf numFmtId="4" fontId="11" fillId="11" borderId="4" applyNumberFormat="0" applyProtection="0">
      <alignment vertical="center"/>
    </xf>
    <xf numFmtId="4" fontId="13" fillId="11" borderId="4" applyNumberFormat="0" applyProtection="0">
      <alignment vertical="center"/>
    </xf>
    <xf numFmtId="4" fontId="11" fillId="11" borderId="4" applyNumberFormat="0" applyProtection="0">
      <alignment horizontal="left" vertical="center" indent="1"/>
    </xf>
    <xf numFmtId="0" fontId="11" fillId="11" borderId="4" applyNumberFormat="0" applyProtection="0">
      <alignment horizontal="left" vertical="top" indent="1"/>
    </xf>
    <xf numFmtId="4" fontId="11" fillId="17" borderId="4" applyNumberFormat="0" applyProtection="0">
      <alignment horizontal="right" vertical="center"/>
    </xf>
    <xf numFmtId="4" fontId="13" fillId="17" borderId="4" applyNumberFormat="0" applyProtection="0">
      <alignment horizontal="right" vertical="center"/>
    </xf>
    <xf numFmtId="4" fontId="11" fillId="19" borderId="4" applyNumberFormat="0" applyProtection="0">
      <alignment horizontal="left" vertical="center" indent="1"/>
    </xf>
    <xf numFmtId="0" fontId="11" fillId="14" borderId="4" applyNumberFormat="0" applyProtection="0">
      <alignment horizontal="left" vertical="top" indent="1"/>
    </xf>
    <xf numFmtId="4" fontId="14" fillId="22" borderId="0" applyNumberFormat="0" applyProtection="0">
      <alignment horizontal="left" vertical="center" indent="1"/>
    </xf>
    <xf numFmtId="4" fontId="15" fillId="17" borderId="4" applyNumberFormat="0" applyProtection="0">
      <alignment horizontal="right" vertical="center"/>
    </xf>
    <xf numFmtId="0" fontId="3" fillId="0" borderId="0"/>
    <xf numFmtId="0" fontId="2" fillId="0" borderId="0"/>
    <xf numFmtId="164" fontId="3" fillId="0" borderId="0" applyFont="0" applyFill="0" applyBorder="0" applyAlignment="0" applyProtection="0"/>
    <xf numFmtId="171"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0"/>
    <xf numFmtId="0" fontId="3" fillId="0" borderId="0"/>
    <xf numFmtId="0" fontId="3"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10">
    <xf numFmtId="0" fontId="0" fillId="0" borderId="0" xfId="0"/>
    <xf numFmtId="0" fontId="4" fillId="24" borderId="0" xfId="15" applyFont="1" applyFill="1"/>
    <xf numFmtId="0" fontId="2" fillId="28" borderId="0" xfId="57" applyFill="1"/>
    <xf numFmtId="0" fontId="17" fillId="24" borderId="0" xfId="0" applyFont="1" applyFill="1"/>
    <xf numFmtId="164" fontId="18" fillId="24" borderId="0" xfId="3" applyFont="1" applyFill="1" applyAlignment="1">
      <alignment horizontal="center"/>
    </xf>
    <xf numFmtId="165" fontId="18" fillId="24" borderId="0" xfId="3" applyNumberFormat="1" applyFont="1" applyFill="1" applyAlignment="1">
      <alignment horizontal="center"/>
    </xf>
    <xf numFmtId="0" fontId="18" fillId="24" borderId="0" xfId="0" applyFont="1" applyFill="1"/>
    <xf numFmtId="164" fontId="18" fillId="25" borderId="3" xfId="3" applyFont="1" applyFill="1" applyBorder="1" applyAlignment="1" applyProtection="1">
      <alignment horizontal="center"/>
      <protection locked="0"/>
    </xf>
    <xf numFmtId="164" fontId="18" fillId="24" borderId="3" xfId="3" applyFont="1" applyFill="1" applyBorder="1" applyAlignment="1">
      <alignment horizontal="center"/>
    </xf>
    <xf numFmtId="0" fontId="19" fillId="24" borderId="0" xfId="0" applyFont="1" applyFill="1"/>
    <xf numFmtId="164" fontId="20" fillId="24" borderId="0" xfId="3" applyFont="1" applyFill="1" applyAlignment="1">
      <alignment horizontal="center"/>
    </xf>
    <xf numFmtId="165" fontId="20" fillId="24" borderId="0" xfId="3" applyNumberFormat="1" applyFont="1" applyFill="1" applyAlignment="1">
      <alignment horizontal="center"/>
    </xf>
    <xf numFmtId="0" fontId="20" fillId="24" borderId="0" xfId="0" applyFont="1" applyFill="1"/>
    <xf numFmtId="164" fontId="20" fillId="24" borderId="0" xfId="3" applyFont="1" applyFill="1" applyAlignment="1">
      <alignment horizontal="center" vertical="center"/>
    </xf>
    <xf numFmtId="0" fontId="20" fillId="24" borderId="3" xfId="0" applyFont="1" applyFill="1" applyBorder="1"/>
    <xf numFmtId="164" fontId="20" fillId="24" borderId="3" xfId="3" applyFont="1" applyFill="1" applyBorder="1" applyAlignment="1" applyProtection="1">
      <alignment horizontal="center"/>
      <protection locked="0"/>
    </xf>
    <xf numFmtId="0" fontId="19" fillId="24" borderId="3" xfId="0" applyFont="1" applyFill="1" applyBorder="1" applyProtection="1">
      <protection locked="0"/>
    </xf>
    <xf numFmtId="164" fontId="20" fillId="25" borderId="3" xfId="3" applyFont="1" applyFill="1" applyBorder="1" applyAlignment="1" applyProtection="1">
      <alignment horizontal="center"/>
      <protection locked="0"/>
    </xf>
    <xf numFmtId="164" fontId="20" fillId="25" borderId="3" xfId="3" applyNumberFormat="1" applyFont="1" applyFill="1" applyBorder="1" applyAlignment="1" applyProtection="1">
      <alignment horizontal="center"/>
      <protection locked="0"/>
    </xf>
    <xf numFmtId="164" fontId="20" fillId="24" borderId="3" xfId="3" applyFont="1" applyFill="1" applyBorder="1" applyAlignment="1">
      <alignment horizontal="center"/>
    </xf>
    <xf numFmtId="0" fontId="19" fillId="25" borderId="3" xfId="0" applyFont="1" applyFill="1" applyBorder="1" applyProtection="1">
      <protection locked="0"/>
    </xf>
    <xf numFmtId="165" fontId="20" fillId="24" borderId="3" xfId="3" applyNumberFormat="1" applyFont="1" applyFill="1" applyBorder="1" applyAlignment="1" applyProtection="1">
      <alignment horizontal="center"/>
      <protection locked="0"/>
    </xf>
    <xf numFmtId="0" fontId="20" fillId="25" borderId="3" xfId="3" applyNumberFormat="1" applyFont="1" applyFill="1" applyBorder="1" applyAlignment="1" applyProtection="1">
      <alignment horizontal="center"/>
      <protection locked="0"/>
    </xf>
    <xf numFmtId="164" fontId="20" fillId="24" borderId="0" xfId="3" applyFont="1" applyFill="1" applyBorder="1" applyAlignment="1" applyProtection="1">
      <alignment horizontal="center"/>
      <protection locked="0"/>
    </xf>
    <xf numFmtId="164" fontId="20" fillId="24" borderId="0" xfId="3" applyFont="1" applyFill="1" applyAlignment="1" applyProtection="1">
      <alignment horizontal="center"/>
      <protection locked="0"/>
    </xf>
    <xf numFmtId="165" fontId="19" fillId="24" borderId="0" xfId="3" applyNumberFormat="1" applyFont="1" applyFill="1" applyAlignment="1">
      <alignment horizontal="left"/>
    </xf>
    <xf numFmtId="9" fontId="20" fillId="25" borderId="3" xfId="3" applyNumberFormat="1" applyFont="1" applyFill="1" applyBorder="1" applyAlignment="1" applyProtection="1">
      <alignment horizontal="center"/>
      <protection locked="0"/>
    </xf>
    <xf numFmtId="165" fontId="20" fillId="24" borderId="0" xfId="0" applyNumberFormat="1" applyFont="1" applyFill="1"/>
    <xf numFmtId="165" fontId="20" fillId="25" borderId="3" xfId="3" applyNumberFormat="1" applyFont="1" applyFill="1" applyBorder="1" applyAlignment="1" applyProtection="1">
      <alignment horizontal="center"/>
      <protection locked="0"/>
    </xf>
    <xf numFmtId="165" fontId="19" fillId="24" borderId="0" xfId="3" applyNumberFormat="1" applyFont="1" applyFill="1" applyAlignment="1">
      <alignment horizontal="right" vertical="center"/>
    </xf>
    <xf numFmtId="0" fontId="18" fillId="0" borderId="0" xfId="0" applyFont="1" applyFill="1"/>
    <xf numFmtId="0" fontId="21" fillId="0" borderId="0" xfId="0" applyFont="1" applyFill="1"/>
    <xf numFmtId="0" fontId="17" fillId="0" borderId="0" xfId="0" applyFont="1" applyFill="1"/>
    <xf numFmtId="0" fontId="22" fillId="26" borderId="3" xfId="3" applyNumberFormat="1" applyFont="1" applyFill="1" applyBorder="1" applyAlignment="1">
      <alignment horizontal="center"/>
    </xf>
    <xf numFmtId="165" fontId="23" fillId="0" borderId="3" xfId="3" applyNumberFormat="1" applyFont="1" applyFill="1" applyBorder="1" applyAlignment="1">
      <alignment horizontal="center"/>
    </xf>
    <xf numFmtId="165" fontId="18" fillId="0" borderId="0" xfId="0" applyNumberFormat="1" applyFont="1" applyFill="1" applyProtection="1"/>
    <xf numFmtId="165" fontId="18" fillId="0" borderId="3" xfId="3" applyNumberFormat="1" applyFont="1" applyFill="1" applyBorder="1" applyAlignment="1" applyProtection="1">
      <alignment horizontal="center"/>
    </xf>
    <xf numFmtId="166" fontId="18" fillId="27" borderId="3" xfId="16" applyNumberFormat="1" applyFont="1" applyFill="1" applyBorder="1" applyAlignment="1" applyProtection="1">
      <alignment horizontal="center"/>
    </xf>
    <xf numFmtId="0" fontId="18" fillId="0" borderId="0" xfId="0" applyFont="1" applyFill="1" applyProtection="1"/>
    <xf numFmtId="0" fontId="22" fillId="26" borderId="3" xfId="0" applyFont="1" applyFill="1" applyBorder="1" applyAlignment="1">
      <alignment horizontal="center"/>
    </xf>
    <xf numFmtId="165" fontId="18" fillId="27" borderId="3" xfId="3" applyNumberFormat="1" applyFont="1" applyFill="1" applyBorder="1" applyAlignment="1" applyProtection="1">
      <alignment horizontal="center"/>
    </xf>
    <xf numFmtId="0" fontId="17" fillId="0" borderId="0" xfId="0" applyFont="1" applyFill="1" applyProtection="1"/>
    <xf numFmtId="0" fontId="17" fillId="24" borderId="0" xfId="0" applyFont="1" applyFill="1" applyProtection="1"/>
    <xf numFmtId="164" fontId="18" fillId="24" borderId="0" xfId="3" applyFont="1" applyFill="1" applyAlignment="1" applyProtection="1">
      <alignment horizontal="center"/>
    </xf>
    <xf numFmtId="165" fontId="18" fillId="24" borderId="0" xfId="3" applyNumberFormat="1" applyFont="1" applyFill="1" applyAlignment="1" applyProtection="1">
      <alignment horizontal="center"/>
    </xf>
    <xf numFmtId="0" fontId="18" fillId="24" borderId="0" xfId="0" applyFont="1" applyFill="1" applyProtection="1"/>
    <xf numFmtId="0" fontId="22" fillId="23" borderId="0" xfId="0" applyFont="1" applyFill="1" applyProtection="1"/>
    <xf numFmtId="164" fontId="18" fillId="24" borderId="3" xfId="3" applyFont="1" applyFill="1" applyBorder="1" applyAlignment="1" applyProtection="1">
      <alignment horizontal="center"/>
    </xf>
    <xf numFmtId="0" fontId="17" fillId="24" borderId="0" xfId="0" applyFont="1" applyFill="1" applyBorder="1"/>
    <xf numFmtId="0" fontId="22" fillId="23" borderId="0" xfId="0" applyFont="1" applyFill="1"/>
    <xf numFmtId="165" fontId="18" fillId="25" borderId="3" xfId="3" applyNumberFormat="1" applyFont="1" applyFill="1" applyBorder="1" applyAlignment="1" applyProtection="1">
      <alignment horizontal="center"/>
      <protection locked="0"/>
    </xf>
    <xf numFmtId="164" fontId="18" fillId="24" borderId="0" xfId="3" applyFont="1" applyFill="1" applyBorder="1" applyAlignment="1">
      <alignment horizontal="center"/>
    </xf>
    <xf numFmtId="164" fontId="22" fillId="23" borderId="3" xfId="3" applyFont="1" applyFill="1" applyBorder="1" applyAlignment="1" applyProtection="1">
      <alignment horizontal="center"/>
    </xf>
    <xf numFmtId="165" fontId="18" fillId="24" borderId="3" xfId="3" applyNumberFormat="1" applyFont="1" applyFill="1" applyBorder="1" applyAlignment="1" applyProtection="1">
      <alignment horizontal="center"/>
    </xf>
    <xf numFmtId="165" fontId="18" fillId="0" borderId="3" xfId="3" applyNumberFormat="1" applyFont="1" applyFill="1" applyBorder="1" applyAlignment="1" applyProtection="1">
      <alignment horizontal="center"/>
      <protection locked="0"/>
    </xf>
    <xf numFmtId="0" fontId="22" fillId="23" borderId="3" xfId="3" applyNumberFormat="1" applyFont="1" applyFill="1" applyBorder="1" applyAlignment="1" applyProtection="1">
      <alignment horizontal="center"/>
    </xf>
    <xf numFmtId="0" fontId="17" fillId="24" borderId="3" xfId="0" applyNumberFormat="1" applyFont="1" applyFill="1" applyBorder="1" applyAlignment="1" applyProtection="1"/>
    <xf numFmtId="165" fontId="18" fillId="24" borderId="0" xfId="3" applyNumberFormat="1" applyFont="1" applyFill="1" applyProtection="1"/>
    <xf numFmtId="165" fontId="18" fillId="24" borderId="0" xfId="3" applyNumberFormat="1" applyFont="1" applyFill="1"/>
    <xf numFmtId="170" fontId="18" fillId="24" borderId="3" xfId="3" applyNumberFormat="1" applyFont="1" applyFill="1" applyBorder="1" applyAlignment="1" applyProtection="1">
      <alignment horizontal="center"/>
    </xf>
    <xf numFmtId="165" fontId="18" fillId="24" borderId="6" xfId="3" applyNumberFormat="1" applyFont="1" applyFill="1" applyBorder="1"/>
    <xf numFmtId="164" fontId="22" fillId="23" borderId="3" xfId="3" applyFont="1" applyFill="1" applyBorder="1" applyAlignment="1">
      <alignment horizontal="center"/>
    </xf>
    <xf numFmtId="165" fontId="18" fillId="24" borderId="0" xfId="0" applyNumberFormat="1" applyFont="1" applyFill="1" applyProtection="1"/>
    <xf numFmtId="166" fontId="18" fillId="24" borderId="3" xfId="16" applyNumberFormat="1" applyFont="1" applyFill="1" applyBorder="1" applyAlignment="1" applyProtection="1">
      <alignment horizontal="center"/>
    </xf>
    <xf numFmtId="165" fontId="18" fillId="24" borderId="0" xfId="0" applyNumberFormat="1" applyFont="1" applyFill="1"/>
    <xf numFmtId="0" fontId="22" fillId="23" borderId="3" xfId="3" applyNumberFormat="1" applyFont="1" applyFill="1" applyBorder="1" applyAlignment="1">
      <alignment horizontal="center"/>
    </xf>
    <xf numFmtId="0" fontId="17" fillId="0" borderId="3" xfId="0" applyFont="1" applyFill="1" applyBorder="1" applyProtection="1">
      <protection locked="0"/>
    </xf>
    <xf numFmtId="0" fontId="27" fillId="24" borderId="0" xfId="15" applyFont="1" applyFill="1" applyAlignment="1">
      <alignment vertical="top" wrapText="1"/>
    </xf>
    <xf numFmtId="0" fontId="28" fillId="24" borderId="0" xfId="15" applyFont="1" applyFill="1" applyAlignment="1">
      <alignment horizontal="left" vertical="center"/>
    </xf>
    <xf numFmtId="0" fontId="3" fillId="24" borderId="0" xfId="15" applyFill="1"/>
    <xf numFmtId="0" fontId="23" fillId="24" borderId="3" xfId="15" applyFont="1" applyFill="1" applyBorder="1" applyAlignment="1">
      <alignment horizontal="center" vertical="center" wrapText="1"/>
    </xf>
    <xf numFmtId="0" fontId="29" fillId="25" borderId="3" xfId="15" applyFont="1" applyFill="1" applyBorder="1" applyAlignment="1" applyProtection="1">
      <alignment vertical="center" wrapText="1"/>
      <protection locked="0"/>
    </xf>
    <xf numFmtId="164" fontId="29" fillId="25" borderId="3" xfId="58" applyFont="1" applyFill="1" applyBorder="1" applyAlignment="1" applyProtection="1">
      <alignment horizontal="center" vertical="center" wrapText="1"/>
      <protection locked="0"/>
    </xf>
    <xf numFmtId="0" fontId="29" fillId="24" borderId="0" xfId="15" applyFont="1" applyFill="1" applyAlignment="1">
      <alignment horizontal="right" vertical="center" wrapText="1"/>
    </xf>
    <xf numFmtId="164" fontId="30" fillId="24" borderId="3" xfId="58" applyFont="1" applyFill="1" applyBorder="1" applyAlignment="1">
      <alignment vertical="top" wrapText="1"/>
    </xf>
    <xf numFmtId="0" fontId="31" fillId="24" borderId="0" xfId="15" applyFont="1" applyFill="1" applyAlignment="1">
      <alignment horizontal="center" vertical="center" wrapText="1"/>
    </xf>
    <xf numFmtId="0" fontId="33" fillId="0" borderId="8" xfId="63" applyFont="1" applyFill="1" applyBorder="1" applyAlignment="1" applyProtection="1">
      <alignment horizontal="right"/>
    </xf>
    <xf numFmtId="17" fontId="29" fillId="0" borderId="0" xfId="60" applyNumberFormat="1" applyFont="1" applyFill="1" applyBorder="1" applyAlignment="1" applyProtection="1">
      <alignment horizontal="right"/>
    </xf>
    <xf numFmtId="0" fontId="3" fillId="0" borderId="0" xfId="58" applyNumberFormat="1" applyFont="1" applyFill="1" applyBorder="1" applyAlignment="1" applyProtection="1">
      <alignment horizontal="center"/>
      <protection locked="0"/>
    </xf>
    <xf numFmtId="0" fontId="35" fillId="24" borderId="0" xfId="15" applyFont="1" applyFill="1"/>
    <xf numFmtId="0" fontId="35" fillId="24" borderId="0" xfId="63" applyFont="1" applyFill="1"/>
    <xf numFmtId="164" fontId="35" fillId="24" borderId="0" xfId="58" applyFont="1" applyFill="1"/>
    <xf numFmtId="165" fontId="35" fillId="24" borderId="0" xfId="58" applyNumberFormat="1" applyFont="1" applyFill="1"/>
    <xf numFmtId="165" fontId="35" fillId="24" borderId="0" xfId="58" applyNumberFormat="1" applyFont="1" applyFill="1" applyBorder="1"/>
    <xf numFmtId="0" fontId="3" fillId="24" borderId="0" xfId="63" applyFont="1" applyFill="1"/>
    <xf numFmtId="0" fontId="42" fillId="24" borderId="0" xfId="15" applyFont="1" applyFill="1" applyAlignment="1"/>
    <xf numFmtId="0" fontId="3" fillId="24" borderId="0" xfId="15" applyFont="1" applyFill="1"/>
    <xf numFmtId="0" fontId="4" fillId="24" borderId="0" xfId="15" applyFont="1" applyFill="1" applyProtection="1"/>
    <xf numFmtId="0" fontId="43" fillId="24" borderId="0" xfId="15" applyFont="1" applyFill="1" applyAlignment="1" applyProtection="1">
      <alignment horizontal="left" wrapText="1"/>
    </xf>
    <xf numFmtId="0" fontId="3" fillId="24" borderId="0" xfId="15" applyFont="1" applyFill="1" applyProtection="1"/>
    <xf numFmtId="0" fontId="33" fillId="24" borderId="0" xfId="15" applyFont="1" applyFill="1"/>
    <xf numFmtId="0" fontId="34" fillId="24" borderId="0" xfId="15" applyFont="1" applyFill="1"/>
    <xf numFmtId="0" fontId="45" fillId="24" borderId="0" xfId="15" applyFont="1" applyFill="1" applyAlignment="1">
      <alignment horizontal="center"/>
    </xf>
    <xf numFmtId="0" fontId="43" fillId="0" borderId="0" xfId="64" applyFont="1" applyFill="1" applyBorder="1"/>
    <xf numFmtId="0" fontId="43" fillId="0" borderId="0" xfId="65" applyFont="1" applyFill="1" applyBorder="1" applyAlignment="1">
      <alignment horizontal="left"/>
    </xf>
    <xf numFmtId="0" fontId="50" fillId="0" borderId="0" xfId="63" applyFont="1" applyFill="1" applyBorder="1" applyAlignment="1" applyProtection="1">
      <alignment horizontal="center"/>
    </xf>
    <xf numFmtId="0" fontId="50" fillId="0" borderId="11" xfId="63" applyFont="1" applyFill="1" applyBorder="1" applyAlignment="1" applyProtection="1">
      <alignment horizontal="center"/>
    </xf>
    <xf numFmtId="164" fontId="49" fillId="0" borderId="3" xfId="58" applyNumberFormat="1" applyFont="1" applyFill="1" applyBorder="1" applyAlignment="1" applyProtection="1">
      <alignment horizontal="left"/>
    </xf>
    <xf numFmtId="165" fontId="49" fillId="0" borderId="12" xfId="58" applyNumberFormat="1" applyFont="1" applyFill="1" applyBorder="1" applyProtection="1"/>
    <xf numFmtId="0" fontId="49" fillId="0" borderId="0" xfId="64" applyFont="1" applyFill="1" applyBorder="1"/>
    <xf numFmtId="164" fontId="49" fillId="0" borderId="3" xfId="58" applyNumberFormat="1" applyFont="1" applyFill="1" applyBorder="1" applyProtection="1">
      <protection locked="0"/>
    </xf>
    <xf numFmtId="0" fontId="50" fillId="0" borderId="0" xfId="63" applyFont="1" applyFill="1" applyBorder="1" applyAlignment="1">
      <alignment horizontal="right"/>
    </xf>
    <xf numFmtId="0" fontId="50" fillId="0" borderId="0" xfId="63" applyFont="1" applyFill="1" applyBorder="1"/>
    <xf numFmtId="0" fontId="48" fillId="0" borderId="7" xfId="63" applyFont="1" applyFill="1" applyBorder="1" applyProtection="1"/>
    <xf numFmtId="0" fontId="48" fillId="0" borderId="8" xfId="63" applyFont="1" applyFill="1" applyBorder="1" applyProtection="1"/>
    <xf numFmtId="0" fontId="48" fillId="0" borderId="9" xfId="63" applyFont="1" applyFill="1" applyBorder="1" applyProtection="1"/>
    <xf numFmtId="0" fontId="48" fillId="0" borderId="0" xfId="63" applyFont="1" applyFill="1" applyProtection="1"/>
    <xf numFmtId="0" fontId="48" fillId="23" borderId="7" xfId="63" applyFont="1" applyFill="1" applyBorder="1" applyProtection="1"/>
    <xf numFmtId="0" fontId="48" fillId="23" borderId="9" xfId="63" applyFont="1" applyFill="1" applyBorder="1" applyProtection="1"/>
    <xf numFmtId="0" fontId="48" fillId="0" borderId="0" xfId="63" applyFont="1" applyFill="1" applyBorder="1" applyProtection="1"/>
    <xf numFmtId="0" fontId="20" fillId="0" borderId="0" xfId="63" applyFont="1" applyFill="1" applyBorder="1" applyProtection="1"/>
    <xf numFmtId="0" fontId="20" fillId="0" borderId="11" xfId="63" applyFont="1" applyFill="1" applyBorder="1" applyProtection="1"/>
    <xf numFmtId="0" fontId="48" fillId="23" borderId="10" xfId="63" applyFont="1" applyFill="1" applyBorder="1" applyAlignment="1" applyProtection="1">
      <alignment horizontal="center"/>
    </xf>
    <xf numFmtId="0" fontId="48" fillId="23" borderId="11" xfId="63" applyNumberFormat="1" applyFont="1" applyFill="1" applyBorder="1" applyAlignment="1" applyProtection="1">
      <alignment horizontal="center"/>
    </xf>
    <xf numFmtId="0" fontId="48" fillId="0" borderId="10" xfId="63" applyFont="1" applyFill="1" applyBorder="1"/>
    <xf numFmtId="0" fontId="48" fillId="0" borderId="0" xfId="63" applyFont="1" applyFill="1" applyBorder="1"/>
    <xf numFmtId="0" fontId="20" fillId="0" borderId="0" xfId="63" applyFont="1" applyFill="1" applyBorder="1"/>
    <xf numFmtId="165" fontId="20" fillId="0" borderId="3" xfId="58" applyNumberFormat="1" applyFont="1" applyFill="1" applyBorder="1" applyAlignment="1" applyProtection="1">
      <alignment horizontal="left"/>
    </xf>
    <xf numFmtId="0" fontId="48" fillId="0" borderId="0" xfId="63" applyFont="1" applyFill="1" applyAlignment="1" applyProtection="1">
      <alignment horizontal="center"/>
      <protection locked="0"/>
    </xf>
    <xf numFmtId="0" fontId="48" fillId="23" borderId="10" xfId="63" applyFont="1" applyFill="1" applyBorder="1" applyAlignment="1">
      <alignment horizontal="center"/>
    </xf>
    <xf numFmtId="0" fontId="48" fillId="23" borderId="11" xfId="63" applyNumberFormat="1" applyFont="1" applyFill="1" applyBorder="1" applyAlignment="1">
      <alignment horizontal="center"/>
    </xf>
    <xf numFmtId="0" fontId="48" fillId="0" borderId="0" xfId="63" applyFont="1" applyFill="1" applyAlignment="1">
      <alignment horizontal="center"/>
    </xf>
    <xf numFmtId="0" fontId="48" fillId="0" borderId="0" xfId="63" applyFont="1" applyFill="1"/>
    <xf numFmtId="165" fontId="20" fillId="0" borderId="12" xfId="63" applyNumberFormat="1" applyFont="1" applyFill="1" applyBorder="1" applyProtection="1"/>
    <xf numFmtId="164" fontId="20" fillId="0" borderId="0" xfId="63" applyNumberFormat="1" applyFont="1" applyFill="1" applyBorder="1" applyProtection="1">
      <protection locked="0"/>
    </xf>
    <xf numFmtId="164" fontId="20" fillId="0" borderId="3" xfId="63" applyNumberFormat="1" applyFont="1" applyFill="1" applyBorder="1" applyProtection="1"/>
    <xf numFmtId="0" fontId="3" fillId="0" borderId="0" xfId="15" applyFont="1" applyFill="1"/>
    <xf numFmtId="0" fontId="48" fillId="0" borderId="0" xfId="63" applyNumberFormat="1" applyFont="1" applyFill="1" applyAlignment="1" applyProtection="1">
      <alignment horizontal="center"/>
      <protection locked="0"/>
    </xf>
    <xf numFmtId="0" fontId="20" fillId="0" borderId="11" xfId="63" applyFont="1" applyFill="1" applyBorder="1"/>
    <xf numFmtId="0" fontId="48" fillId="0" borderId="0" xfId="63" applyNumberFormat="1" applyFont="1" applyFill="1" applyAlignment="1">
      <alignment horizontal="center"/>
    </xf>
    <xf numFmtId="165" fontId="20" fillId="0" borderId="12" xfId="63" applyNumberFormat="1" applyFont="1" applyFill="1" applyBorder="1"/>
    <xf numFmtId="0" fontId="48" fillId="23" borderId="10" xfId="63" applyFont="1" applyFill="1" applyBorder="1"/>
    <xf numFmtId="0" fontId="48" fillId="23" borderId="11" xfId="63" applyNumberFormat="1" applyFont="1" applyFill="1" applyBorder="1"/>
    <xf numFmtId="0" fontId="48" fillId="23" borderId="11" xfId="63" applyFont="1" applyFill="1" applyBorder="1"/>
    <xf numFmtId="9" fontId="20" fillId="0" borderId="12" xfId="16" applyFont="1" applyFill="1" applyBorder="1" applyAlignment="1">
      <alignment horizontal="center"/>
    </xf>
    <xf numFmtId="0" fontId="48" fillId="0" borderId="11" xfId="63" applyFont="1" applyFill="1" applyBorder="1"/>
    <xf numFmtId="0" fontId="48" fillId="0" borderId="13" xfId="63" applyFont="1" applyFill="1" applyBorder="1" applyProtection="1"/>
    <xf numFmtId="0" fontId="48" fillId="0" borderId="14" xfId="63" applyFont="1" applyFill="1" applyBorder="1" applyProtection="1"/>
    <xf numFmtId="0" fontId="48" fillId="0" borderId="15" xfId="63" applyFont="1" applyFill="1" applyBorder="1" applyProtection="1"/>
    <xf numFmtId="0" fontId="48" fillId="23" borderId="13" xfId="63" applyFont="1" applyFill="1" applyBorder="1" applyProtection="1"/>
    <xf numFmtId="0" fontId="48" fillId="23" borderId="15" xfId="63" applyFont="1" applyFill="1" applyBorder="1" applyProtection="1"/>
    <xf numFmtId="0" fontId="51" fillId="24" borderId="0" xfId="63" applyFont="1" applyFill="1" applyProtection="1"/>
    <xf numFmtId="0" fontId="43" fillId="0" borderId="0" xfId="63" applyFont="1" applyFill="1" applyBorder="1"/>
    <xf numFmtId="165" fontId="43" fillId="0" borderId="0" xfId="58" applyNumberFormat="1" applyFont="1" applyFill="1" applyBorder="1"/>
    <xf numFmtId="172" fontId="43" fillId="0" borderId="0" xfId="58" applyNumberFormat="1" applyFont="1" applyFill="1" applyBorder="1" applyAlignment="1">
      <alignment horizontal="center"/>
    </xf>
    <xf numFmtId="173" fontId="43" fillId="0" borderId="0" xfId="59" applyNumberFormat="1" applyFont="1" applyFill="1" applyBorder="1"/>
    <xf numFmtId="0" fontId="43" fillId="0" borderId="0" xfId="63" applyFont="1" applyFill="1" applyBorder="1" applyAlignment="1"/>
    <xf numFmtId="165" fontId="43" fillId="0" borderId="0" xfId="3" applyNumberFormat="1" applyFont="1" applyFill="1" applyBorder="1" applyAlignment="1">
      <alignment horizontal="left" indent="2"/>
    </xf>
    <xf numFmtId="0" fontId="19" fillId="0" borderId="0" xfId="63" applyFont="1" applyFill="1" applyBorder="1"/>
    <xf numFmtId="0" fontId="50" fillId="0" borderId="0" xfId="64" applyFont="1" applyFill="1" applyBorder="1" applyAlignment="1">
      <alignment horizontal="left" indent="1"/>
    </xf>
    <xf numFmtId="0" fontId="20" fillId="0" borderId="0" xfId="63" applyFont="1" applyFill="1" applyBorder="1" applyAlignment="1">
      <alignment horizontal="left" indent="1"/>
    </xf>
    <xf numFmtId="0" fontId="19" fillId="0" borderId="0" xfId="63" applyFont="1" applyFill="1" applyBorder="1" applyAlignment="1">
      <alignment horizontal="left" indent="1"/>
    </xf>
    <xf numFmtId="0" fontId="50" fillId="0" borderId="0" xfId="63" applyFont="1" applyFill="1" applyBorder="1" applyAlignment="1">
      <alignment horizontal="left"/>
    </xf>
    <xf numFmtId="0" fontId="50" fillId="0" borderId="0" xfId="65" applyFont="1" applyFill="1" applyBorder="1" applyAlignment="1">
      <alignment horizontal="left"/>
    </xf>
    <xf numFmtId="0" fontId="43" fillId="0" borderId="0" xfId="63" applyFont="1" applyBorder="1" applyAlignment="1">
      <alignment horizontal="left" indent="1"/>
    </xf>
    <xf numFmtId="0" fontId="43" fillId="0" borderId="0" xfId="64" applyFont="1" applyFill="1" applyBorder="1" applyAlignment="1">
      <alignment horizontal="left" indent="1"/>
    </xf>
    <xf numFmtId="0" fontId="52" fillId="0" borderId="10" xfId="63" applyFont="1" applyFill="1" applyBorder="1" applyAlignment="1" applyProtection="1">
      <alignment horizontal="center"/>
    </xf>
    <xf numFmtId="0" fontId="34" fillId="24" borderId="16" xfId="15" applyFont="1" applyFill="1" applyBorder="1"/>
    <xf numFmtId="0" fontId="34" fillId="24" borderId="17" xfId="15" applyFont="1" applyFill="1" applyBorder="1"/>
    <xf numFmtId="0" fontId="34" fillId="24" borderId="18" xfId="15" applyFont="1" applyFill="1" applyBorder="1"/>
    <xf numFmtId="0" fontId="34" fillId="24" borderId="19" xfId="15" applyFont="1" applyFill="1" applyBorder="1"/>
    <xf numFmtId="0" fontId="34" fillId="24" borderId="0" xfId="15" applyFont="1" applyFill="1" applyBorder="1"/>
    <xf numFmtId="0" fontId="34" fillId="24" borderId="20" xfId="15" applyFont="1" applyFill="1" applyBorder="1"/>
    <xf numFmtId="0" fontId="34" fillId="24" borderId="21" xfId="15" applyFont="1" applyFill="1" applyBorder="1"/>
    <xf numFmtId="0" fontId="34" fillId="24" borderId="22" xfId="15" applyFont="1" applyFill="1" applyBorder="1"/>
    <xf numFmtId="0" fontId="34" fillId="24" borderId="23" xfId="15" applyFont="1" applyFill="1" applyBorder="1"/>
    <xf numFmtId="0" fontId="33" fillId="24" borderId="0" xfId="15" applyFont="1" applyFill="1" applyBorder="1" applyAlignment="1">
      <alignment horizontal="center"/>
    </xf>
    <xf numFmtId="0" fontId="34" fillId="24" borderId="0" xfId="15" applyFont="1" applyFill="1" applyAlignment="1">
      <alignment horizontal="center"/>
    </xf>
    <xf numFmtId="0" fontId="34" fillId="24" borderId="0" xfId="15" applyFont="1" applyFill="1" applyBorder="1" applyAlignment="1">
      <alignment horizontal="center"/>
    </xf>
    <xf numFmtId="0" fontId="34" fillId="24" borderId="0" xfId="15" applyFont="1" applyFill="1" applyAlignment="1">
      <alignment horizontal="right"/>
    </xf>
    <xf numFmtId="0" fontId="39" fillId="24" borderId="0" xfId="15" applyFont="1" applyFill="1"/>
    <xf numFmtId="0" fontId="33" fillId="24" borderId="0" xfId="15" applyFont="1" applyFill="1" applyAlignment="1"/>
    <xf numFmtId="0" fontId="8" fillId="24" borderId="0" xfId="15" applyFont="1" applyFill="1"/>
    <xf numFmtId="0" fontId="8" fillId="24" borderId="3" xfId="15" applyFont="1" applyFill="1" applyBorder="1" applyAlignment="1">
      <alignment horizontal="center"/>
    </xf>
    <xf numFmtId="165" fontId="3" fillId="24" borderId="3" xfId="58" applyNumberFormat="1" applyFont="1" applyFill="1" applyBorder="1" applyAlignment="1">
      <alignment vertical="center"/>
    </xf>
    <xf numFmtId="0" fontId="37" fillId="24" borderId="0" xfId="15" applyFont="1" applyFill="1"/>
    <xf numFmtId="165" fontId="37" fillId="24" borderId="3" xfId="58" applyNumberFormat="1" applyFont="1" applyFill="1" applyBorder="1"/>
    <xf numFmtId="165" fontId="37" fillId="24" borderId="0" xfId="15" applyNumberFormat="1" applyFont="1" applyFill="1" applyBorder="1" applyAlignment="1">
      <alignment horizontal="right"/>
    </xf>
    <xf numFmtId="9" fontId="37" fillId="24" borderId="3" xfId="60" applyNumberFormat="1" applyFont="1" applyFill="1" applyBorder="1" applyAlignment="1">
      <alignment horizontal="center"/>
    </xf>
    <xf numFmtId="9" fontId="3" fillId="24" borderId="0" xfId="60" applyNumberFormat="1" applyFont="1" applyFill="1" applyBorder="1" applyAlignment="1">
      <alignment horizontal="center"/>
    </xf>
    <xf numFmtId="165" fontId="3" fillId="24" borderId="0" xfId="58" applyNumberFormat="1" applyFont="1" applyFill="1" applyBorder="1"/>
    <xf numFmtId="0" fontId="8" fillId="24" borderId="0" xfId="15" applyFont="1" applyFill="1" applyBorder="1" applyAlignment="1">
      <alignment horizontal="left"/>
    </xf>
    <xf numFmtId="165" fontId="37" fillId="24" borderId="3" xfId="15" applyNumberFormat="1" applyFont="1" applyFill="1" applyBorder="1" applyAlignment="1">
      <alignment horizontal="center"/>
    </xf>
    <xf numFmtId="0" fontId="3" fillId="24" borderId="0" xfId="15" applyFill="1" applyBorder="1" applyAlignment="1">
      <alignment horizontal="center"/>
    </xf>
    <xf numFmtId="165" fontId="37" fillId="24" borderId="0" xfId="58" applyNumberFormat="1" applyFont="1" applyFill="1"/>
    <xf numFmtId="165" fontId="6" fillId="24" borderId="0" xfId="58" applyNumberFormat="1" applyFont="1" applyFill="1"/>
    <xf numFmtId="165" fontId="3" fillId="24" borderId="0" xfId="58" applyNumberFormat="1" applyFont="1" applyFill="1" applyAlignment="1">
      <alignment vertical="center"/>
    </xf>
    <xf numFmtId="10" fontId="3" fillId="24" borderId="3" xfId="16" applyNumberFormat="1" applyFont="1" applyFill="1" applyBorder="1" applyAlignment="1">
      <alignment horizontal="center" vertical="center"/>
    </xf>
    <xf numFmtId="165" fontId="3" fillId="24" borderId="0" xfId="58" applyNumberFormat="1" applyFont="1" applyFill="1"/>
    <xf numFmtId="165" fontId="8" fillId="24" borderId="0" xfId="58" applyNumberFormat="1" applyFont="1" applyFill="1" applyAlignment="1"/>
    <xf numFmtId="0" fontId="3" fillId="29" borderId="24" xfId="15" applyFill="1" applyBorder="1"/>
    <xf numFmtId="0" fontId="44" fillId="29" borderId="25" xfId="15" applyFont="1" applyFill="1" applyBorder="1" applyAlignment="1">
      <alignment horizontal="center"/>
    </xf>
    <xf numFmtId="0" fontId="40" fillId="29" borderId="25" xfId="15" applyFont="1" applyFill="1" applyBorder="1" applyAlignment="1">
      <alignment horizontal="center"/>
    </xf>
    <xf numFmtId="0" fontId="39" fillId="29" borderId="25" xfId="15" applyFont="1" applyFill="1" applyBorder="1" applyAlignment="1">
      <alignment horizontal="center"/>
    </xf>
    <xf numFmtId="0" fontId="41" fillId="29" borderId="25" xfId="15" applyFont="1" applyFill="1" applyBorder="1" applyAlignment="1">
      <alignment horizontal="center"/>
    </xf>
    <xf numFmtId="0" fontId="6" fillId="29" borderId="25" xfId="58" applyNumberFormat="1" applyFont="1" applyFill="1" applyBorder="1" applyAlignment="1" applyProtection="1">
      <alignment horizontal="center"/>
      <protection locked="0"/>
    </xf>
    <xf numFmtId="0" fontId="39" fillId="29" borderId="26" xfId="15" applyFont="1" applyFill="1" applyBorder="1" applyAlignment="1">
      <alignment horizontal="center"/>
    </xf>
    <xf numFmtId="164" fontId="19" fillId="24" borderId="0" xfId="3" applyFont="1" applyFill="1" applyBorder="1" applyAlignment="1">
      <alignment horizontal="center"/>
    </xf>
    <xf numFmtId="164" fontId="20" fillId="24" borderId="0" xfId="3" applyFont="1" applyFill="1" applyBorder="1" applyAlignment="1">
      <alignment horizontal="center"/>
    </xf>
    <xf numFmtId="0" fontId="19" fillId="24" borderId="0" xfId="0" applyFont="1" applyFill="1" applyBorder="1"/>
    <xf numFmtId="165" fontId="19" fillId="24" borderId="0" xfId="3" applyNumberFormat="1" applyFont="1" applyFill="1" applyBorder="1" applyAlignment="1">
      <alignment horizontal="center"/>
    </xf>
    <xf numFmtId="165" fontId="19" fillId="24" borderId="0" xfId="3" applyNumberFormat="1" applyFont="1" applyFill="1" applyBorder="1" applyAlignment="1">
      <alignment horizontal="center" wrapText="1"/>
    </xf>
    <xf numFmtId="164" fontId="19" fillId="24" borderId="0" xfId="3" applyFont="1" applyFill="1" applyBorder="1" applyAlignment="1">
      <alignment horizontal="center" wrapText="1"/>
    </xf>
    <xf numFmtId="164" fontId="20" fillId="25" borderId="3" xfId="3" applyFont="1" applyFill="1" applyBorder="1" applyAlignment="1" applyProtection="1">
      <alignment horizontal="left"/>
      <protection locked="0"/>
    </xf>
    <xf numFmtId="166" fontId="20" fillId="24" borderId="3" xfId="3" applyNumberFormat="1" applyFont="1" applyFill="1" applyBorder="1" applyAlignment="1" applyProtection="1">
      <alignment horizontal="center"/>
    </xf>
    <xf numFmtId="164" fontId="20" fillId="24" borderId="3" xfId="3" applyFont="1" applyFill="1" applyBorder="1" applyAlignment="1" applyProtection="1">
      <alignment horizontal="center"/>
    </xf>
    <xf numFmtId="165" fontId="19" fillId="24" borderId="0" xfId="3" applyNumberFormat="1" applyFont="1" applyFill="1" applyBorder="1" applyAlignment="1">
      <alignment horizontal="center"/>
    </xf>
    <xf numFmtId="164" fontId="20" fillId="0" borderId="3" xfId="3" applyFont="1" applyFill="1" applyBorder="1" applyAlignment="1" applyProtection="1">
      <alignment horizontal="left" vertical="center"/>
      <protection locked="0"/>
    </xf>
    <xf numFmtId="0" fontId="17" fillId="24" borderId="3" xfId="0" applyNumberFormat="1" applyFont="1" applyFill="1" applyBorder="1" applyAlignment="1" applyProtection="1">
      <alignment horizontal="center"/>
    </xf>
    <xf numFmtId="165" fontId="37" fillId="24" borderId="0" xfId="58" applyNumberFormat="1" applyFont="1" applyFill="1" applyAlignment="1">
      <alignment horizontal="right"/>
    </xf>
  </cellXfs>
  <cellStyles count="108">
    <cellStyle name="_Fleet Base" xfId="1"/>
    <cellStyle name="_Waxi Inv Analysis" xfId="2"/>
    <cellStyle name="Comma" xfId="3" builtinId="3"/>
    <cellStyle name="Comma 2" xfId="58"/>
    <cellStyle name="Comma0" xfId="4"/>
    <cellStyle name="Currency 2" xfId="59"/>
    <cellStyle name="Currency0" xfId="5"/>
    <cellStyle name="Date" xfId="6"/>
    <cellStyle name="Euro" xfId="7"/>
    <cellStyle name="Fixed" xfId="8"/>
    <cellStyle name="Followed Hyperlink" xfId="62"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Grey" xfId="9"/>
    <cellStyle name="header" xfId="10"/>
    <cellStyle name="Header1" xfId="11"/>
    <cellStyle name="Header2" xfId="12"/>
    <cellStyle name="Hyperlink" xfId="61"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Input [yellow]" xfId="13"/>
    <cellStyle name="Normal" xfId="0" builtinId="0"/>
    <cellStyle name="Normal - Style1" xfId="14"/>
    <cellStyle name="Normal 2" xfId="15"/>
    <cellStyle name="Normal 3" xfId="57"/>
    <cellStyle name="Normal 4" xfId="63"/>
    <cellStyle name="Normal_Fleet Base" xfId="65"/>
    <cellStyle name="Normal_Metric Links" xfId="64"/>
    <cellStyle name="Percent" xfId="16" builtinId="5"/>
    <cellStyle name="Percent [2]" xfId="17"/>
    <cellStyle name="Percent 2" xfId="60"/>
    <cellStyle name="SAPBEXaggData" xfId="18"/>
    <cellStyle name="SAPBEXaggDataEmph" xfId="19"/>
    <cellStyle name="SAPBEXaggItem" xfId="20"/>
    <cellStyle name="SAPBEXaggItemX" xfId="21"/>
    <cellStyle name="SAPBEXchaText" xfId="2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ormats" xfId="35"/>
    <cellStyle name="SAPBEXheaderItem" xfId="36"/>
    <cellStyle name="SAPBEXheaderText" xfId="37"/>
    <cellStyle name="SAPBEXHLevel0" xfId="38"/>
    <cellStyle name="SAPBEXHLevel0X" xfId="39"/>
    <cellStyle name="SAPBEXHLevel1" xfId="40"/>
    <cellStyle name="SAPBEXHLevel1X" xfId="41"/>
    <cellStyle name="SAPBEXHLevel2" xfId="42"/>
    <cellStyle name="SAPBEXHLevel2X" xfId="43"/>
    <cellStyle name="SAPBEXHLevel3" xfId="44"/>
    <cellStyle name="SAPBEXHLevel3X" xfId="45"/>
    <cellStyle name="SAPBEXresData" xfId="46"/>
    <cellStyle name="SAPBEXresDataEmph" xfId="47"/>
    <cellStyle name="SAPBEXresItem" xfId="48"/>
    <cellStyle name="SAPBEXresItemX" xfId="49"/>
    <cellStyle name="SAPBEXstdData" xfId="50"/>
    <cellStyle name="SAPBEXstdDataEmph" xfId="51"/>
    <cellStyle name="SAPBEXstdItem" xfId="52"/>
    <cellStyle name="SAPBEXstdItemX" xfId="53"/>
    <cellStyle name="SAPBEXtitle" xfId="54"/>
    <cellStyle name="SAPBEXundefined" xfId="55"/>
    <cellStyle name="Style 1" xfId="56"/>
  </cellStyles>
  <dxfs count="1">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theme" Target="theme/theme1.xml"/><Relationship Id="rId24" Type="http://schemas.openxmlformats.org/officeDocument/2006/relationships/styles" Target="styles.xml"/><Relationship Id="rId25" Type="http://schemas.openxmlformats.org/officeDocument/2006/relationships/sharedStrings" Target="sharedStrings.xml"/><Relationship Id="rId26"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19362758941"/>
          <c:y val="0.0376569422325917"/>
          <c:w val="0.87907556095923"/>
          <c:h val="0.823437629506838"/>
        </c:manualLayout>
      </c:layout>
      <c:lineChart>
        <c:grouping val="standard"/>
        <c:varyColors val="0"/>
        <c:ser>
          <c:idx val="0"/>
          <c:order val="0"/>
          <c:tx>
            <c:strRef>
              <c:f>'BE3'!$B$44</c:f>
              <c:strCache>
                <c:ptCount val="1"/>
                <c:pt idx="0">
                  <c:v>Revenue</c:v>
                </c:pt>
              </c:strCache>
            </c:strRef>
          </c:tx>
          <c:spPr>
            <a:ln w="38100">
              <a:solidFill>
                <a:srgbClr val="76A54B"/>
              </a:solidFill>
              <a:prstDash val="solid"/>
            </a:ln>
          </c:spPr>
          <c:marker>
            <c:symbol val="none"/>
          </c:marker>
          <c:cat>
            <c:numRef>
              <c:f>'BE3'!$D$43:$S$43</c:f>
              <c:numCache>
                <c:formatCode>_(* #,##0_);_(* \(#,##0\);_(* "-"??_);_(@_)</c:formatCode>
                <c:ptCount val="15"/>
                <c:pt idx="0">
                  <c:v>315.0</c:v>
                </c:pt>
                <c:pt idx="1">
                  <c:v>630.0</c:v>
                </c:pt>
                <c:pt idx="2">
                  <c:v>945.0</c:v>
                </c:pt>
                <c:pt idx="3">
                  <c:v>1260.0</c:v>
                </c:pt>
                <c:pt idx="4">
                  <c:v>1575.0</c:v>
                </c:pt>
                <c:pt idx="5">
                  <c:v>1890.0</c:v>
                </c:pt>
                <c:pt idx="6">
                  <c:v>2205.0</c:v>
                </c:pt>
                <c:pt idx="7">
                  <c:v>2520.0</c:v>
                </c:pt>
                <c:pt idx="8">
                  <c:v>2835.0</c:v>
                </c:pt>
                <c:pt idx="9">
                  <c:v>3150.0</c:v>
                </c:pt>
                <c:pt idx="10">
                  <c:v>3465.0</c:v>
                </c:pt>
                <c:pt idx="11">
                  <c:v>3780.0</c:v>
                </c:pt>
                <c:pt idx="12">
                  <c:v>4095.0</c:v>
                </c:pt>
                <c:pt idx="13">
                  <c:v>4410.0</c:v>
                </c:pt>
                <c:pt idx="14">
                  <c:v>4725.0</c:v>
                </c:pt>
              </c:numCache>
            </c:numRef>
          </c:cat>
          <c:val>
            <c:numRef>
              <c:f>'BE3'!$D$44:$S$44</c:f>
              <c:numCache>
                <c:formatCode>_(* #,##0_);_(* \(#,##0\);_(* "-"??_);_(@_)</c:formatCode>
                <c:ptCount val="15"/>
                <c:pt idx="0">
                  <c:v>34650.0</c:v>
                </c:pt>
                <c:pt idx="1">
                  <c:v>69300.0</c:v>
                </c:pt>
                <c:pt idx="2">
                  <c:v>103950.0</c:v>
                </c:pt>
                <c:pt idx="3">
                  <c:v>138600.0</c:v>
                </c:pt>
                <c:pt idx="4">
                  <c:v>173250.0</c:v>
                </c:pt>
                <c:pt idx="5">
                  <c:v>207900.0</c:v>
                </c:pt>
                <c:pt idx="6">
                  <c:v>242550.0</c:v>
                </c:pt>
                <c:pt idx="7">
                  <c:v>277200.0</c:v>
                </c:pt>
                <c:pt idx="8">
                  <c:v>311850.0</c:v>
                </c:pt>
                <c:pt idx="9">
                  <c:v>346500.0</c:v>
                </c:pt>
                <c:pt idx="10">
                  <c:v>381150.0</c:v>
                </c:pt>
                <c:pt idx="11">
                  <c:v>415800.0</c:v>
                </c:pt>
                <c:pt idx="12">
                  <c:v>450450.0</c:v>
                </c:pt>
                <c:pt idx="13">
                  <c:v>485100.0</c:v>
                </c:pt>
                <c:pt idx="14">
                  <c:v>519750.0</c:v>
                </c:pt>
              </c:numCache>
            </c:numRef>
          </c:val>
          <c:smooth val="0"/>
        </c:ser>
        <c:ser>
          <c:idx val="2"/>
          <c:order val="1"/>
          <c:tx>
            <c:strRef>
              <c:f>'BE3'!$B$46</c:f>
              <c:strCache>
                <c:ptCount val="1"/>
                <c:pt idx="0">
                  <c:v>Variable Costs</c:v>
                </c:pt>
              </c:strCache>
            </c:strRef>
          </c:tx>
          <c:spPr>
            <a:ln w="25400">
              <a:solidFill>
                <a:srgbClr val="0000FF"/>
              </a:solidFill>
              <a:prstDash val="solid"/>
            </a:ln>
          </c:spPr>
          <c:marker>
            <c:symbol val="none"/>
          </c:marker>
          <c:cat>
            <c:numRef>
              <c:f>'BE3'!$D$43:$S$43</c:f>
              <c:numCache>
                <c:formatCode>_(* #,##0_);_(* \(#,##0\);_(* "-"??_);_(@_)</c:formatCode>
                <c:ptCount val="15"/>
                <c:pt idx="0">
                  <c:v>315.0</c:v>
                </c:pt>
                <c:pt idx="1">
                  <c:v>630.0</c:v>
                </c:pt>
                <c:pt idx="2">
                  <c:v>945.0</c:v>
                </c:pt>
                <c:pt idx="3">
                  <c:v>1260.0</c:v>
                </c:pt>
                <c:pt idx="4">
                  <c:v>1575.0</c:v>
                </c:pt>
                <c:pt idx="5">
                  <c:v>1890.0</c:v>
                </c:pt>
                <c:pt idx="6">
                  <c:v>2205.0</c:v>
                </c:pt>
                <c:pt idx="7">
                  <c:v>2520.0</c:v>
                </c:pt>
                <c:pt idx="8">
                  <c:v>2835.0</c:v>
                </c:pt>
                <c:pt idx="9">
                  <c:v>3150.0</c:v>
                </c:pt>
                <c:pt idx="10">
                  <c:v>3465.0</c:v>
                </c:pt>
                <c:pt idx="11">
                  <c:v>3780.0</c:v>
                </c:pt>
                <c:pt idx="12">
                  <c:v>4095.0</c:v>
                </c:pt>
                <c:pt idx="13">
                  <c:v>4410.0</c:v>
                </c:pt>
                <c:pt idx="14">
                  <c:v>4725.0</c:v>
                </c:pt>
              </c:numCache>
            </c:numRef>
          </c:cat>
          <c:val>
            <c:numRef>
              <c:f>'BE3'!$D$46:$S$46</c:f>
              <c:numCache>
                <c:formatCode>_(* #,##0_);_(* \(#,##0\);_(* "-"??_);_(@_)</c:formatCode>
                <c:ptCount val="15"/>
                <c:pt idx="0">
                  <c:v>119845.0</c:v>
                </c:pt>
                <c:pt idx="1">
                  <c:v>139690.0</c:v>
                </c:pt>
                <c:pt idx="2">
                  <c:v>159535.0</c:v>
                </c:pt>
                <c:pt idx="3">
                  <c:v>179380.0</c:v>
                </c:pt>
                <c:pt idx="4">
                  <c:v>199225.0</c:v>
                </c:pt>
                <c:pt idx="5">
                  <c:v>219070.0</c:v>
                </c:pt>
                <c:pt idx="6">
                  <c:v>238915.0</c:v>
                </c:pt>
                <c:pt idx="7">
                  <c:v>258760.0</c:v>
                </c:pt>
                <c:pt idx="8">
                  <c:v>278605.0</c:v>
                </c:pt>
                <c:pt idx="9">
                  <c:v>298450.0</c:v>
                </c:pt>
                <c:pt idx="10">
                  <c:v>318295.0</c:v>
                </c:pt>
                <c:pt idx="11">
                  <c:v>338140.0</c:v>
                </c:pt>
                <c:pt idx="12">
                  <c:v>357985.0</c:v>
                </c:pt>
                <c:pt idx="13">
                  <c:v>377830.0</c:v>
                </c:pt>
                <c:pt idx="14">
                  <c:v>397675.0</c:v>
                </c:pt>
              </c:numCache>
            </c:numRef>
          </c:val>
          <c:smooth val="0"/>
        </c:ser>
        <c:ser>
          <c:idx val="1"/>
          <c:order val="2"/>
          <c:tx>
            <c:strRef>
              <c:f>'BE3'!$B$45</c:f>
              <c:strCache>
                <c:ptCount val="1"/>
                <c:pt idx="0">
                  <c:v>Fixed Costs</c:v>
                </c:pt>
              </c:strCache>
            </c:strRef>
          </c:tx>
          <c:marker>
            <c:symbol val="none"/>
          </c:marker>
          <c:cat>
            <c:numRef>
              <c:f>'BE3'!$D$43:$S$43</c:f>
              <c:numCache>
                <c:formatCode>_(* #,##0_);_(* \(#,##0\);_(* "-"??_);_(@_)</c:formatCode>
                <c:ptCount val="15"/>
                <c:pt idx="0">
                  <c:v>315.0</c:v>
                </c:pt>
                <c:pt idx="1">
                  <c:v>630.0</c:v>
                </c:pt>
                <c:pt idx="2">
                  <c:v>945.0</c:v>
                </c:pt>
                <c:pt idx="3">
                  <c:v>1260.0</c:v>
                </c:pt>
                <c:pt idx="4">
                  <c:v>1575.0</c:v>
                </c:pt>
                <c:pt idx="5">
                  <c:v>1890.0</c:v>
                </c:pt>
                <c:pt idx="6">
                  <c:v>2205.0</c:v>
                </c:pt>
                <c:pt idx="7">
                  <c:v>2520.0</c:v>
                </c:pt>
                <c:pt idx="8">
                  <c:v>2835.0</c:v>
                </c:pt>
                <c:pt idx="9">
                  <c:v>3150.0</c:v>
                </c:pt>
                <c:pt idx="10">
                  <c:v>3465.0</c:v>
                </c:pt>
                <c:pt idx="11">
                  <c:v>3780.0</c:v>
                </c:pt>
                <c:pt idx="12">
                  <c:v>4095.0</c:v>
                </c:pt>
                <c:pt idx="13">
                  <c:v>4410.0</c:v>
                </c:pt>
                <c:pt idx="14">
                  <c:v>4725.0</c:v>
                </c:pt>
              </c:numCache>
            </c:numRef>
          </c:cat>
          <c:val>
            <c:numRef>
              <c:f>'BE3'!$D$45:$S$45</c:f>
              <c:numCache>
                <c:formatCode>_(* #,##0_);_(* \(#,##0\);_(* "-"??_);_(@_)</c:formatCode>
                <c:ptCount val="15"/>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pt idx="12">
                  <c:v>100000.0</c:v>
                </c:pt>
                <c:pt idx="13">
                  <c:v>100000.0</c:v>
                </c:pt>
                <c:pt idx="14">
                  <c:v>100000.0</c:v>
                </c:pt>
              </c:numCache>
            </c:numRef>
          </c:val>
          <c:smooth val="0"/>
        </c:ser>
        <c:dLbls>
          <c:showLegendKey val="0"/>
          <c:showVal val="0"/>
          <c:showCatName val="0"/>
          <c:showSerName val="0"/>
          <c:showPercent val="0"/>
          <c:showBubbleSize val="0"/>
        </c:dLbls>
        <c:marker val="1"/>
        <c:smooth val="0"/>
        <c:axId val="-2119079336"/>
        <c:axId val="-2118978328"/>
      </c:lineChart>
      <c:catAx>
        <c:axId val="-2119079336"/>
        <c:scaling>
          <c:orientation val="minMax"/>
        </c:scaling>
        <c:delete val="0"/>
        <c:axPos val="b"/>
        <c:numFmt formatCode="_(* #,##0_);_(* \(#,##0\);_(* &quot;-&quot;??_);_(@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118978328"/>
        <c:crosses val="autoZero"/>
        <c:auto val="1"/>
        <c:lblAlgn val="ctr"/>
        <c:lblOffset val="100"/>
        <c:tickLblSkip val="1"/>
        <c:tickMarkSkip val="1"/>
        <c:noMultiLvlLbl val="0"/>
      </c:catAx>
      <c:valAx>
        <c:axId val="-2118978328"/>
        <c:scaling>
          <c:orientation val="minMax"/>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19079336"/>
        <c:crosses val="autoZero"/>
        <c:crossBetween val="between"/>
      </c:valAx>
      <c:spPr>
        <a:noFill/>
        <a:ln w="12700">
          <a:solidFill>
            <a:srgbClr val="808080"/>
          </a:solidFill>
          <a:prstDash val="solid"/>
        </a:ln>
      </c:spPr>
    </c:plotArea>
    <c:legend>
      <c:legendPos val="r"/>
      <c:layout>
        <c:manualLayout>
          <c:xMode val="edge"/>
          <c:yMode val="edge"/>
          <c:x val="0.220358147123501"/>
          <c:y val="0.0795918557517588"/>
          <c:w val="0.230340494768471"/>
          <c:h val="0.144704253475493"/>
        </c:manualLayout>
      </c:layout>
      <c:overlay val="0"/>
      <c:spPr>
        <a:solidFill>
          <a:srgbClr val="FFFFFF"/>
        </a:solidFill>
        <a:ln w="3175">
          <a:solidFill>
            <a:srgbClr val="00000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869481295383"/>
          <c:y val="0.0604651849395723"/>
          <c:w val="0.77999485278348"/>
          <c:h val="0.873322229654029"/>
        </c:manualLayout>
      </c:layout>
      <c:lineChart>
        <c:grouping val="standard"/>
        <c:varyColors val="0"/>
        <c:ser>
          <c:idx val="0"/>
          <c:order val="0"/>
          <c:tx>
            <c:strRef>
              <c:f>Payback!$B$196</c:f>
              <c:strCache>
                <c:ptCount val="1"/>
                <c:pt idx="0">
                  <c:v> Worst Case </c:v>
                </c:pt>
              </c:strCache>
            </c:strRef>
          </c:tx>
          <c:spPr>
            <a:ln w="38100">
              <a:solidFill>
                <a:srgbClr val="903E10"/>
              </a:solidFill>
              <a:prstDash val="solid"/>
            </a:ln>
          </c:spPr>
          <c:marker>
            <c:symbol val="none"/>
          </c:marker>
          <c:val>
            <c:numRef>
              <c:f>Payback!$C$196:$W$196</c:f>
              <c:numCache>
                <c:formatCode>_(* #,##0_);_(* \(#,##0\);_(* "-"??_);_(@_)</c:formatCode>
                <c:ptCount val="21"/>
                <c:pt idx="0">
                  <c:v>-1778.080999999998</c:v>
                </c:pt>
                <c:pt idx="1">
                  <c:v>-3714.006999999998</c:v>
                </c:pt>
                <c:pt idx="2">
                  <c:v>-4430.777999999998</c:v>
                </c:pt>
                <c:pt idx="3">
                  <c:v>-4744.393999999998</c:v>
                </c:pt>
                <c:pt idx="4">
                  <c:v>-4654.854999999998</c:v>
                </c:pt>
                <c:pt idx="5">
                  <c:v>-4162.161</c:v>
                </c:pt>
                <c:pt idx="6">
                  <c:v>-3266.312</c:v>
                </c:pt>
                <c:pt idx="7">
                  <c:v>-1967.308</c:v>
                </c:pt>
                <c:pt idx="8">
                  <c:v>-265.1490000000012</c:v>
                </c:pt>
                <c:pt idx="9">
                  <c:v>1840.165</c:v>
                </c:pt>
                <c:pt idx="10">
                  <c:v>4348.634</c:v>
                </c:pt>
                <c:pt idx="11">
                  <c:v>7260.258</c:v>
                </c:pt>
                <c:pt idx="12">
                  <c:v>10575.037</c:v>
                </c:pt>
                <c:pt idx="13">
                  <c:v>14292.971</c:v>
                </c:pt>
                <c:pt idx="14">
                  <c:v>18414.06</c:v>
                </c:pt>
                <c:pt idx="15">
                  <c:v>22938.304</c:v>
                </c:pt>
                <c:pt idx="16">
                  <c:v>27865.70299999999</c:v>
                </c:pt>
                <c:pt idx="17">
                  <c:v>33196.257</c:v>
                </c:pt>
                <c:pt idx="18">
                  <c:v>38929.966</c:v>
                </c:pt>
                <c:pt idx="19">
                  <c:v>45066.83</c:v>
                </c:pt>
              </c:numCache>
            </c:numRef>
          </c:val>
          <c:smooth val="0"/>
        </c:ser>
        <c:ser>
          <c:idx val="2"/>
          <c:order val="1"/>
          <c:tx>
            <c:strRef>
              <c:f>Payback!$B$195</c:f>
              <c:strCache>
                <c:ptCount val="1"/>
                <c:pt idx="0">
                  <c:v> Expected Case </c:v>
                </c:pt>
              </c:strCache>
            </c:strRef>
          </c:tx>
          <c:spPr>
            <a:ln w="38100">
              <a:solidFill>
                <a:srgbClr val="0000FF"/>
              </a:solidFill>
              <a:prstDash val="solid"/>
            </a:ln>
          </c:spPr>
          <c:marker>
            <c:symbol val="none"/>
          </c:marker>
          <c:val>
            <c:numRef>
              <c:f>Payback!$C$195:$W$195</c:f>
              <c:numCache>
                <c:formatCode>_(* #,##0_);_(* \(#,##0\);_(* "-"??_);_(@_)</c:formatCode>
                <c:ptCount val="21"/>
                <c:pt idx="0">
                  <c:v>-2614.824999999997</c:v>
                </c:pt>
                <c:pt idx="1">
                  <c:v>-5461.774999999998</c:v>
                </c:pt>
                <c:pt idx="2">
                  <c:v>-6515.849999999998</c:v>
                </c:pt>
                <c:pt idx="3">
                  <c:v>-6977.05</c:v>
                </c:pt>
                <c:pt idx="4">
                  <c:v>-6845.375</c:v>
                </c:pt>
                <c:pt idx="5">
                  <c:v>-6120.825</c:v>
                </c:pt>
                <c:pt idx="6">
                  <c:v>-4803.400000000001</c:v>
                </c:pt>
                <c:pt idx="7">
                  <c:v>-2893.100000000002</c:v>
                </c:pt>
                <c:pt idx="8">
                  <c:v>-389.9250000000038</c:v>
                </c:pt>
                <c:pt idx="9">
                  <c:v>2706.124999999997</c:v>
                </c:pt>
                <c:pt idx="10">
                  <c:v>6395.049999999997</c:v>
                </c:pt>
                <c:pt idx="11">
                  <c:v>10676.85</c:v>
                </c:pt>
                <c:pt idx="12">
                  <c:v>15551.525</c:v>
                </c:pt>
                <c:pt idx="13">
                  <c:v>21019.075</c:v>
                </c:pt>
                <c:pt idx="14">
                  <c:v>27079.5</c:v>
                </c:pt>
                <c:pt idx="15">
                  <c:v>33732.8</c:v>
                </c:pt>
                <c:pt idx="16">
                  <c:v>40978.975</c:v>
                </c:pt>
                <c:pt idx="17">
                  <c:v>48818.025</c:v>
                </c:pt>
                <c:pt idx="18">
                  <c:v>57249.95</c:v>
                </c:pt>
                <c:pt idx="19">
                  <c:v>66274.75</c:v>
                </c:pt>
              </c:numCache>
            </c:numRef>
          </c:val>
          <c:smooth val="0"/>
        </c:ser>
        <c:ser>
          <c:idx val="1"/>
          <c:order val="2"/>
          <c:tx>
            <c:strRef>
              <c:f>Payback!$B$194</c:f>
              <c:strCache>
                <c:ptCount val="1"/>
                <c:pt idx="0">
                  <c:v> Best Case </c:v>
                </c:pt>
              </c:strCache>
            </c:strRef>
          </c:tx>
          <c:spPr>
            <a:ln w="38100">
              <a:solidFill>
                <a:srgbClr val="4F6E32"/>
              </a:solidFill>
              <a:prstDash val="solid"/>
            </a:ln>
          </c:spPr>
          <c:marker>
            <c:symbol val="none"/>
          </c:marker>
          <c:val>
            <c:numRef>
              <c:f>Payback!$C$194:$W$194</c:f>
              <c:numCache>
                <c:formatCode>_(* #,##0_);_(* \(#,##0\);_(* "-"??_);_(@_)</c:formatCode>
                <c:ptCount val="21"/>
                <c:pt idx="0">
                  <c:v>-3451.568999999996</c:v>
                </c:pt>
                <c:pt idx="1">
                  <c:v>-7209.542999999997</c:v>
                </c:pt>
                <c:pt idx="2">
                  <c:v>-8600.921999999999</c:v>
                </c:pt>
                <c:pt idx="3">
                  <c:v>-9209.705999999998</c:v>
                </c:pt>
                <c:pt idx="4">
                  <c:v>-9035.894999999999</c:v>
                </c:pt>
                <c:pt idx="5">
                  <c:v>-8079.488999999999</c:v>
                </c:pt>
                <c:pt idx="6">
                  <c:v>-6340.487999999999</c:v>
                </c:pt>
                <c:pt idx="7">
                  <c:v>-3818.892</c:v>
                </c:pt>
                <c:pt idx="8">
                  <c:v>-514.7010000000022</c:v>
                </c:pt>
                <c:pt idx="9">
                  <c:v>3572.084999999999</c:v>
                </c:pt>
                <c:pt idx="10">
                  <c:v>8441.466</c:v>
                </c:pt>
                <c:pt idx="11">
                  <c:v>14093.442</c:v>
                </c:pt>
                <c:pt idx="12">
                  <c:v>20528.013</c:v>
                </c:pt>
                <c:pt idx="13">
                  <c:v>27745.179</c:v>
                </c:pt>
                <c:pt idx="14">
                  <c:v>35744.94</c:v>
                </c:pt>
                <c:pt idx="15">
                  <c:v>44527.296</c:v>
                </c:pt>
                <c:pt idx="16">
                  <c:v>54092.247</c:v>
                </c:pt>
                <c:pt idx="17">
                  <c:v>64439.79300000001</c:v>
                </c:pt>
                <c:pt idx="18">
                  <c:v>75569.93400000001</c:v>
                </c:pt>
                <c:pt idx="19">
                  <c:v>87482.67</c:v>
                </c:pt>
              </c:numCache>
            </c:numRef>
          </c:val>
          <c:smooth val="0"/>
        </c:ser>
        <c:dLbls>
          <c:showLegendKey val="0"/>
          <c:showVal val="0"/>
          <c:showCatName val="0"/>
          <c:showSerName val="0"/>
          <c:showPercent val="0"/>
          <c:showBubbleSize val="0"/>
        </c:dLbls>
        <c:marker val="1"/>
        <c:smooth val="0"/>
        <c:axId val="-2047887000"/>
        <c:axId val="-2048396312"/>
      </c:lineChart>
      <c:catAx>
        <c:axId val="-2047887000"/>
        <c:scaling>
          <c:orientation val="minMax"/>
        </c:scaling>
        <c:delete val="0"/>
        <c:axPos val="b"/>
        <c:numFmt formatCode="[$-409]mmm\-yy;@"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2048396312"/>
        <c:crosses val="autoZero"/>
        <c:auto val="1"/>
        <c:lblAlgn val="ctr"/>
        <c:lblOffset val="100"/>
        <c:tickLblSkip val="1"/>
        <c:tickMarkSkip val="1"/>
        <c:noMultiLvlLbl val="0"/>
      </c:catAx>
      <c:valAx>
        <c:axId val="-2048396312"/>
        <c:scaling>
          <c:orientation val="minMax"/>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47887000"/>
        <c:crosses val="autoZero"/>
        <c:crossBetween val="between"/>
      </c:valAx>
      <c:spPr>
        <a:solidFill>
          <a:srgbClr val="FFFFFF"/>
        </a:solidFill>
        <a:ln w="3175">
          <a:solidFill>
            <a:srgbClr val="000000"/>
          </a:solidFill>
          <a:prstDash val="solid"/>
        </a:ln>
      </c:spPr>
    </c:plotArea>
    <c:legend>
      <c:legendPos val="r"/>
      <c:layout>
        <c:manualLayout>
          <c:xMode val="edge"/>
          <c:yMode val="edge"/>
          <c:x val="0.222850678733032"/>
          <c:y val="0.167442104620643"/>
          <c:w val="0.182803292122421"/>
          <c:h val="0.22161948361106"/>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trlProps/ctrlProp1.xml><?xml version="1.0" encoding="utf-8"?>
<formControlPr xmlns="http://schemas.microsoft.com/office/spreadsheetml/2009/9/main" objectType="Scroll" dx="16" fmlaLink="Volume" horiz="1" max="25000" page="10" val="2520"/>
</file>

<file path=xl/ctrlProps/ctrlProp10.xml><?xml version="1.0" encoding="utf-8"?>
<formControlPr xmlns="http://schemas.microsoft.com/office/spreadsheetml/2009/9/main" objectType="Scroll" dx="16" fmlaLink="$C$20" horiz="1" max="200" page="10" val="30"/>
</file>

<file path=xl/ctrlProps/ctrlProp11.xml><?xml version="1.0" encoding="utf-8"?>
<formControlPr xmlns="http://schemas.microsoft.com/office/spreadsheetml/2009/9/main" objectType="Scroll" dx="16" fmlaLink="$C$23" horiz="1" max="200" page="10" val="27"/>
</file>

<file path=xl/ctrlProps/ctrlProp12.xml><?xml version="1.0" encoding="utf-8"?>
<formControlPr xmlns="http://schemas.microsoft.com/office/spreadsheetml/2009/9/main" objectType="Scroll" dx="16" fmlaLink="$C$26" horiz="1" max="200" page="10" val="24"/>
</file>

<file path=xl/ctrlProps/ctrlProp13.xml><?xml version="1.0" encoding="utf-8"?>
<formControlPr xmlns="http://schemas.microsoft.com/office/spreadsheetml/2009/9/main" objectType="Scroll" dx="16" fmlaLink="$C$29" horiz="1" max="200" page="10" val="21"/>
</file>

<file path=xl/ctrlProps/ctrlProp14.xml><?xml version="1.0" encoding="utf-8"?>
<formControlPr xmlns="http://schemas.microsoft.com/office/spreadsheetml/2009/9/main" objectType="Drop" dropStyle="combo" dx="16" fmlaLink="N6" fmlaRange="$AJ$5:$AJ$25" val="0"/>
</file>

<file path=xl/ctrlProps/ctrlProp15.xml><?xml version="1.0" encoding="utf-8"?>
<formControlPr xmlns="http://schemas.microsoft.com/office/spreadsheetml/2009/9/main" objectType="Drop" dropStyle="combo" dx="16" fmlaLink="N7" fmlaRange="$AJ$5:$AJ$25" sel="21" val="13"/>
</file>

<file path=xl/ctrlProps/ctrlProp16.xml><?xml version="1.0" encoding="utf-8"?>
<formControlPr xmlns="http://schemas.microsoft.com/office/spreadsheetml/2009/9/main" objectType="Drop" dropStyle="combo" dx="16" fmlaLink="N8" fmlaRange="$AJ$5:$AJ$25" sel="21" val="13"/>
</file>

<file path=xl/ctrlProps/ctrlProp17.xml><?xml version="1.0" encoding="utf-8"?>
<formControlPr xmlns="http://schemas.microsoft.com/office/spreadsheetml/2009/9/main" objectType="Drop" dropStyle="combo" dx="16" fmlaLink="N9" fmlaRange="$AJ$5:$AJ$25" sel="21" val="13"/>
</file>

<file path=xl/ctrlProps/ctrlProp18.xml><?xml version="1.0" encoding="utf-8"?>
<formControlPr xmlns="http://schemas.microsoft.com/office/spreadsheetml/2009/9/main" objectType="Drop" dropStyle="combo" dx="16" fmlaLink="N10" fmlaRange="$AJ$5:$AJ$25" sel="21" val="13"/>
</file>

<file path=xl/ctrlProps/ctrlProp19.xml><?xml version="1.0" encoding="utf-8"?>
<formControlPr xmlns="http://schemas.microsoft.com/office/spreadsheetml/2009/9/main" objectType="Drop" dropStyle="combo" dx="16" fmlaLink="N11" fmlaRange="$AJ$5:$AJ$25" sel="21" val="13"/>
</file>

<file path=xl/ctrlProps/ctrlProp2.xml><?xml version="1.0" encoding="utf-8"?>
<formControlPr xmlns="http://schemas.microsoft.com/office/spreadsheetml/2009/9/main" objectType="Scroll" dx="16" fmlaLink="Price" horiz="1" max="1000" page="10" val="110"/>
</file>

<file path=xl/ctrlProps/ctrlProp20.xml><?xml version="1.0" encoding="utf-8"?>
<formControlPr xmlns="http://schemas.microsoft.com/office/spreadsheetml/2009/9/main" objectType="Drop" dropStyle="combo" dx="16" fmlaLink="N12" fmlaRange="$AJ$5:$AJ$25" sel="21" val="13"/>
</file>

<file path=xl/ctrlProps/ctrlProp21.xml><?xml version="1.0" encoding="utf-8"?>
<formControlPr xmlns="http://schemas.microsoft.com/office/spreadsheetml/2009/9/main" objectType="Drop" dropStyle="combo" dx="16" fmlaLink="N13" fmlaRange="$AJ$5:$AJ$25" sel="21" val="13"/>
</file>

<file path=xl/ctrlProps/ctrlProp22.xml><?xml version="1.0" encoding="utf-8"?>
<formControlPr xmlns="http://schemas.microsoft.com/office/spreadsheetml/2009/9/main" objectType="Drop" dropStyle="combo" dx="16" fmlaLink="N14" fmlaRange="$AJ$5:$AJ$25" sel="21" val="13"/>
</file>

<file path=xl/ctrlProps/ctrlProp23.xml><?xml version="1.0" encoding="utf-8"?>
<formControlPr xmlns="http://schemas.microsoft.com/office/spreadsheetml/2009/9/main" objectType="Drop" dropStyle="combo" dx="16" fmlaLink="N15" fmlaRange="$AJ$5:$AJ$25" sel="21" val="13"/>
</file>

<file path=xl/ctrlProps/ctrlProp24.xml><?xml version="1.0" encoding="utf-8"?>
<formControlPr xmlns="http://schemas.microsoft.com/office/spreadsheetml/2009/9/main" objectType="Drop" dropStyle="combo" dx="16" fmlaLink="N18" fmlaRange="$AJ$5:$AJ$25" val="0"/>
</file>

<file path=xl/ctrlProps/ctrlProp25.xml><?xml version="1.0" encoding="utf-8"?>
<formControlPr xmlns="http://schemas.microsoft.com/office/spreadsheetml/2009/9/main" objectType="Drop" dropLines="138" dropStyle="combo" dx="16" fmlaLink="N19" fmlaRange="$AJ$5:$AJ$25" sel="21" val="0"/>
</file>

<file path=xl/ctrlProps/ctrlProp26.xml><?xml version="1.0" encoding="utf-8"?>
<formControlPr xmlns="http://schemas.microsoft.com/office/spreadsheetml/2009/9/main" objectType="Drop" dropStyle="combo" dx="16" fmlaLink="N20" fmlaRange="$AJ$5:$AJ$25" sel="21" val="13"/>
</file>

<file path=xl/ctrlProps/ctrlProp27.xml><?xml version="1.0" encoding="utf-8"?>
<formControlPr xmlns="http://schemas.microsoft.com/office/spreadsheetml/2009/9/main" objectType="Drop" dropStyle="combo" dx="16" fmlaLink="N21" fmlaRange="$AJ$5:$AJ$25" sel="21" val="13"/>
</file>

<file path=xl/ctrlProps/ctrlProp28.xml><?xml version="1.0" encoding="utf-8"?>
<formControlPr xmlns="http://schemas.microsoft.com/office/spreadsheetml/2009/9/main" objectType="Scroll" dx="16" fmlaLink="Discount" horiz="1" max="100" page="10" val="49"/>
</file>

<file path=xl/ctrlProps/ctrlProp29.xml><?xml version="1.0" encoding="utf-8"?>
<formControlPr xmlns="http://schemas.microsoft.com/office/spreadsheetml/2009/9/main" objectType="Scroll" dx="16" fmlaLink="Risk" horiz="1" max="100" page="10" val="32"/>
</file>

<file path=xl/ctrlProps/ctrlProp3.xml><?xml version="1.0" encoding="utf-8"?>
<formControlPr xmlns="http://schemas.microsoft.com/office/spreadsheetml/2009/9/main" objectType="Scroll" dx="16" fmlaLink="$O$12" horiz="1" max="1000" page="10" val="30"/>
</file>

<file path=xl/ctrlProps/ctrlProp4.xml><?xml version="1.0" encoding="utf-8"?>
<formControlPr xmlns="http://schemas.microsoft.com/office/spreadsheetml/2009/9/main" objectType="Scroll" dx="16" fmlaLink="$O$14" horiz="1" max="1000" page="10" val="13"/>
</file>

<file path=xl/ctrlProps/ctrlProp5.xml><?xml version="1.0" encoding="utf-8"?>
<formControlPr xmlns="http://schemas.microsoft.com/office/spreadsheetml/2009/9/main" objectType="Scroll" dx="16" fmlaLink="$Q$21" horiz="1" max="1000" page="10" val="10"/>
</file>

<file path=xl/ctrlProps/ctrlProp6.xml><?xml version="1.0" encoding="utf-8"?>
<formControlPr xmlns="http://schemas.microsoft.com/office/spreadsheetml/2009/9/main" objectType="Scroll" dx="16" fmlaLink="$O$16" horiz="1" max="1000" page="10" val="20"/>
</file>

<file path=xl/ctrlProps/ctrlProp7.xml><?xml version="1.0" encoding="utf-8"?>
<formControlPr xmlns="http://schemas.microsoft.com/office/spreadsheetml/2009/9/main" objectType="Scroll" dx="16" fmlaLink="$Q$23" horiz="1" max="1000" page="10" val="60"/>
</file>

<file path=xl/ctrlProps/ctrlProp8.xml><?xml version="1.0" encoding="utf-8"?>
<formControlPr xmlns="http://schemas.microsoft.com/office/spreadsheetml/2009/9/main" objectType="Scroll" dx="16" fmlaLink="$Q$25" horiz="1" max="1000" page="10" val="30"/>
</file>

<file path=xl/ctrlProps/ctrlProp9.xml><?xml version="1.0" encoding="utf-8"?>
<formControlPr xmlns="http://schemas.microsoft.com/office/spreadsheetml/2009/9/main" objectType="Drop" dropLines="138" dropStyle="combo" dx="16" fmlaLink="$C$18" fmlaRange="$AH$5:$AH$16" val="0"/>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Control!B4"/><Relationship Id="rId4" Type="http://schemas.openxmlformats.org/officeDocument/2006/relationships/hyperlink" Target="#Home!B4"/><Relationship Id="rId1" Type="http://schemas.openxmlformats.org/officeDocument/2006/relationships/chart" Target="../charts/chart1.xml"/><Relationship Id="rId2" Type="http://schemas.openxmlformats.org/officeDocument/2006/relationships/hyperlink" Target="#BE2!B30"/></Relationships>
</file>

<file path=xl/drawings/_rels/drawing11.xml.rels><?xml version="1.0" encoding="UTF-8" standalone="yes"?>
<Relationships xmlns="http://schemas.openxmlformats.org/package/2006/relationships"><Relationship Id="rId3" Type="http://schemas.openxmlformats.org/officeDocument/2006/relationships/hyperlink" Target="#OH!A1"/><Relationship Id="rId4" Type="http://schemas.openxmlformats.org/officeDocument/2006/relationships/hyperlink" Target="#Bal!A1"/><Relationship Id="rId5" Type="http://schemas.openxmlformats.org/officeDocument/2006/relationships/hyperlink" Target="#'P&amp;L'!A1"/><Relationship Id="rId6" Type="http://schemas.openxmlformats.org/officeDocument/2006/relationships/hyperlink" Target="#CF!A1"/><Relationship Id="rId7" Type="http://schemas.openxmlformats.org/officeDocument/2006/relationships/hyperlink" Target="#'Print Version'!A1"/><Relationship Id="rId8" Type="http://schemas.openxmlformats.org/officeDocument/2006/relationships/hyperlink" Target="#BE3!B4"/><Relationship Id="rId9" Type="http://schemas.openxmlformats.org/officeDocument/2006/relationships/hyperlink" Target="#Para!C2"/><Relationship Id="rId10" Type="http://schemas.openxmlformats.org/officeDocument/2006/relationships/hyperlink" Target="#Home!B4"/><Relationship Id="rId1" Type="http://schemas.openxmlformats.org/officeDocument/2006/relationships/hyperlink" Target="#Para!B2"/><Relationship Id="rId2" Type="http://schemas.openxmlformats.org/officeDocument/2006/relationships/hyperlink" Target="#Vol!A1"/></Relationships>
</file>

<file path=xl/drawings/_rels/drawing12.xml.rels><?xml version="1.0" encoding="UTF-8" standalone="yes"?>
<Relationships xmlns="http://schemas.openxmlformats.org/package/2006/relationships"><Relationship Id="rId3" Type="http://schemas.openxmlformats.org/officeDocument/2006/relationships/hyperlink" Target="#Vol!B4"/><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Control!B4"/></Relationships>
</file>

<file path=xl/drawings/_rels/drawing13.xml.rels><?xml version="1.0" encoding="UTF-8" standalone="yes"?>
<Relationships xmlns="http://schemas.openxmlformats.org/package/2006/relationships"><Relationship Id="rId3" Type="http://schemas.openxmlformats.org/officeDocument/2006/relationships/hyperlink" Target="#OH!A4"/><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Para!C2"/></Relationships>
</file>

<file path=xl/drawings/_rels/drawing14.xml.rels><?xml version="1.0" encoding="UTF-8" standalone="yes"?>
<Relationships xmlns="http://schemas.openxmlformats.org/package/2006/relationships"><Relationship Id="rId3" Type="http://schemas.openxmlformats.org/officeDocument/2006/relationships/hyperlink" Target="#Bal!B5"/><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Vol!C2"/></Relationships>
</file>

<file path=xl/drawings/_rels/drawing15.xml.rels><?xml version="1.0" encoding="UTF-8" standalone="yes"?>
<Relationships xmlns="http://schemas.openxmlformats.org/package/2006/relationships"><Relationship Id="rId3" Type="http://schemas.openxmlformats.org/officeDocument/2006/relationships/hyperlink" Target="#Inc!H44"/><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OH!A4"/></Relationships>
</file>

<file path=xl/drawings/_rels/drawing16.xml.rels><?xml version="1.0" encoding="UTF-8" standalone="yes"?>
<Relationships xmlns="http://schemas.openxmlformats.org/package/2006/relationships"><Relationship Id="rId3" Type="http://schemas.openxmlformats.org/officeDocument/2006/relationships/hyperlink" Target="#CF!B19"/><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Bal!B5"/></Relationships>
</file>

<file path=xl/drawings/_rels/drawing17.xml.rels><?xml version="1.0" encoding="UTF-8" standalone="yes"?>
<Relationships xmlns="http://schemas.openxmlformats.org/package/2006/relationships"><Relationship Id="rId3" Type="http://schemas.openxmlformats.org/officeDocument/2006/relationships/hyperlink" Target="#Print!J4"/><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Inc!H45"/></Relationships>
</file>

<file path=xl/drawings/_rels/drawing18.xml.rels><?xml version="1.0" encoding="UTF-8" standalone="yes"?>
<Relationships xmlns="http://schemas.openxmlformats.org/package/2006/relationships"><Relationship Id="rId3" Type="http://schemas.openxmlformats.org/officeDocument/2006/relationships/hyperlink" Target="#ROI!B4"/><Relationship Id="rId4" Type="http://schemas.openxmlformats.org/officeDocument/2006/relationships/hyperlink" Target="#Home!B4"/><Relationship Id="rId1" Type="http://schemas.openxmlformats.org/officeDocument/2006/relationships/hyperlink" Target="#Control!A1"/><Relationship Id="rId2" Type="http://schemas.openxmlformats.org/officeDocument/2006/relationships/hyperlink" Target="#CF!B19"/></Relationships>
</file>

<file path=xl/drawings/_rels/drawing19.xml.rels><?xml version="1.0" encoding="UTF-8" standalone="yes"?>
<Relationships xmlns="http://schemas.openxmlformats.org/package/2006/relationships"><Relationship Id="rId1" Type="http://schemas.openxmlformats.org/officeDocument/2006/relationships/hyperlink" Target="#Print!J4"/><Relationship Id="rId2" Type="http://schemas.openxmlformats.org/officeDocument/2006/relationships/hyperlink" Target="#Payback!D40"/><Relationship Id="rId3" Type="http://schemas.openxmlformats.org/officeDocument/2006/relationships/hyperlink" Target="#Home!B4"/></Relationships>
</file>

<file path=xl/drawings/_rels/drawing2.xml.rels><?xml version="1.0" encoding="UTF-8" standalone="yes"?>
<Relationships xmlns="http://schemas.openxmlformats.org/package/2006/relationships"><Relationship Id="rId3" Type="http://schemas.openxmlformats.org/officeDocument/2006/relationships/hyperlink" Target="#Breakeven!B4"/><Relationship Id="rId4" Type="http://schemas.openxmlformats.org/officeDocument/2006/relationships/hyperlink" Target="#Control!B4"/><Relationship Id="rId5" Type="http://schemas.openxmlformats.org/officeDocument/2006/relationships/hyperlink" Target="#ROI!B4"/><Relationship Id="rId6" Type="http://schemas.openxmlformats.org/officeDocument/2006/relationships/hyperlink" Target="#Plan!B4"/><Relationship Id="rId7" Type="http://schemas.openxmlformats.org/officeDocument/2006/relationships/hyperlink" Target="#COA!B4"/><Relationship Id="rId8" Type="http://schemas.openxmlformats.org/officeDocument/2006/relationships/hyperlink" Target="#Cover!A1"/><Relationship Id="rId9" Type="http://schemas.openxmlformats.org/officeDocument/2006/relationships/hyperlink" Target="http://roi-team.us" TargetMode="External"/><Relationship Id="rId10" Type="http://schemas.openxmlformats.org/officeDocument/2006/relationships/image" Target="../media/image2.jpg"/><Relationship Id="rId1" Type="http://schemas.openxmlformats.org/officeDocument/2006/relationships/hyperlink" Target="#Rules!B4"/><Relationship Id="rId2" Type="http://schemas.openxmlformats.org/officeDocument/2006/relationships/hyperlink" Target="#Statements!B4"/></Relationships>
</file>

<file path=xl/drawings/_rels/drawing20.xml.rels><?xml version="1.0" encoding="UTF-8" standalone="yes"?>
<Relationships xmlns="http://schemas.openxmlformats.org/package/2006/relationships"><Relationship Id="rId3" Type="http://schemas.openxmlformats.org/officeDocument/2006/relationships/hyperlink" Target="#ROI!B4"/><Relationship Id="rId4" Type="http://schemas.openxmlformats.org/officeDocument/2006/relationships/hyperlink" Target="#NPV!B4"/><Relationship Id="rId5" Type="http://schemas.openxmlformats.org/officeDocument/2006/relationships/hyperlink" Target="#Home!B4"/><Relationship Id="rId1" Type="http://schemas.openxmlformats.org/officeDocument/2006/relationships/chart" Target="../charts/chart2.xml"/><Relationship Id="rId2" Type="http://schemas.openxmlformats.org/officeDocument/2006/relationships/hyperlink" Target="#Control!A1"/></Relationships>
</file>

<file path=xl/drawings/_rels/drawing21.xml.rels><?xml version="1.0" encoding="UTF-8" standalone="yes"?>
<Relationships xmlns="http://schemas.openxmlformats.org/package/2006/relationships"><Relationship Id="rId1" Type="http://schemas.openxmlformats.org/officeDocument/2006/relationships/hyperlink" Target="#Payback!D40"/><Relationship Id="rId2" Type="http://schemas.openxmlformats.org/officeDocument/2006/relationships/hyperlink" Target="#Plan!B4"/><Relationship Id="rId3" Type="http://schemas.openxmlformats.org/officeDocument/2006/relationships/hyperlink" Target="#Home!B4"/></Relationships>
</file>

<file path=xl/drawings/_rels/drawing22.xml.rels><?xml version="1.0" encoding="UTF-8" standalone="yes"?>
<Relationships xmlns="http://schemas.openxmlformats.org/package/2006/relationships"><Relationship Id="rId1" Type="http://schemas.openxmlformats.org/officeDocument/2006/relationships/hyperlink" Target="#NPV!B4"/><Relationship Id="rId2" Type="http://schemas.openxmlformats.org/officeDocument/2006/relationships/hyperlink" Target="#Home!B4"/></Relationships>
</file>

<file path=xl/drawings/_rels/drawing3.xml.rels><?xml version="1.0" encoding="UTF-8" standalone="yes"?>
<Relationships xmlns="http://schemas.openxmlformats.org/package/2006/relationships"><Relationship Id="rId1" Type="http://schemas.openxmlformats.org/officeDocument/2006/relationships/hyperlink" Target="#Home!B12"/><Relationship Id="rId2" Type="http://schemas.openxmlformats.org/officeDocument/2006/relationships/hyperlink" Target="#Statements!D6"/><Relationship Id="rId3" Type="http://schemas.openxmlformats.org/officeDocument/2006/relationships/hyperlink" Target="#Home!B4"/></Relationships>
</file>

<file path=xl/drawings/_rels/drawing4.xml.rels><?xml version="1.0" encoding="UTF-8" standalone="yes"?>
<Relationships xmlns="http://schemas.openxmlformats.org/package/2006/relationships"><Relationship Id="rId1" Type="http://schemas.openxmlformats.org/officeDocument/2006/relationships/hyperlink" Target="#Rules!B4"/><Relationship Id="rId2" Type="http://schemas.openxmlformats.org/officeDocument/2006/relationships/hyperlink" Target="#Cash!D6"/><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Statements!D6"/><Relationship Id="rId2" Type="http://schemas.openxmlformats.org/officeDocument/2006/relationships/hyperlink" Target="#Ratios!B4"/><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hyperlink" Target="#Cash!D6"/><Relationship Id="rId2" Type="http://schemas.openxmlformats.org/officeDocument/2006/relationships/hyperlink" Target="#COA!B4"/><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3" Type="http://schemas.openxmlformats.org/officeDocument/2006/relationships/hyperlink" Target="#Ratios!B4"/><Relationship Id="rId4" Type="http://schemas.openxmlformats.org/officeDocument/2006/relationships/hyperlink" Target="#Breakeven!B4"/><Relationship Id="rId5" Type="http://schemas.openxmlformats.org/officeDocument/2006/relationships/hyperlink" Target="#Home!B4"/><Relationship Id="rId1" Type="http://schemas.openxmlformats.org/officeDocument/2006/relationships/image" Target="../media/image3.png"/><Relationship Id="rId2"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hyperlink" Target="#COA!B4"/><Relationship Id="rId2" Type="http://schemas.openxmlformats.org/officeDocument/2006/relationships/hyperlink" Target="#BE2!B30"/><Relationship Id="rId3" Type="http://schemas.openxmlformats.org/officeDocument/2006/relationships/hyperlink" Target="#Home!B4"/></Relationships>
</file>

<file path=xl/drawings/_rels/drawing9.xml.rels><?xml version="1.0" encoding="UTF-8" standalone="yes"?>
<Relationships xmlns="http://schemas.openxmlformats.org/package/2006/relationships"><Relationship Id="rId1" Type="http://schemas.openxmlformats.org/officeDocument/2006/relationships/hyperlink" Target="#Breakeven!B4"/><Relationship Id="rId2" Type="http://schemas.openxmlformats.org/officeDocument/2006/relationships/hyperlink" Target="#BE3!B4"/><Relationship Id="rId3"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19</xdr:col>
      <xdr:colOff>126994</xdr:colOff>
      <xdr:row>55</xdr:row>
      <xdr:rowOff>63500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
          <a:ext cx="15811494" cy="10540998"/>
        </a:xfrm>
        <a:prstGeom prst="rect">
          <a:avLst/>
        </a:prstGeom>
      </xdr:spPr>
    </xdr:pic>
    <xdr:clientData/>
  </xdr:twoCellAnchor>
  <xdr:twoCellAnchor editAs="oneCell">
    <xdr:from>
      <xdr:col>14</xdr:col>
      <xdr:colOff>812800</xdr:colOff>
      <xdr:row>1</xdr:row>
      <xdr:rowOff>38100</xdr:rowOff>
    </xdr:from>
    <xdr:to>
      <xdr:col>18</xdr:col>
      <xdr:colOff>667658</xdr:colOff>
      <xdr:row>6</xdr:row>
      <xdr:rowOff>187778</xdr:rowOff>
    </xdr:to>
    <xdr:pic>
      <xdr:nvPicPr>
        <xdr:cNvPr id="4" name="Picture 3">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2369800" y="228600"/>
          <a:ext cx="3156858" cy="1102178"/>
        </a:xfrm>
        <a:prstGeom prst="rect">
          <a:avLst/>
        </a:prstGeom>
      </xdr:spPr>
    </xdr:pic>
    <xdr:clientData/>
  </xdr:twoCellAnchor>
  <xdr:twoCellAnchor>
    <xdr:from>
      <xdr:col>0</xdr:col>
      <xdr:colOff>368300</xdr:colOff>
      <xdr:row>2</xdr:row>
      <xdr:rowOff>0</xdr:rowOff>
    </xdr:from>
    <xdr:to>
      <xdr:col>12</xdr:col>
      <xdr:colOff>570012</xdr:colOff>
      <xdr:row>7</xdr:row>
      <xdr:rowOff>63500</xdr:rowOff>
    </xdr:to>
    <xdr:grpSp>
      <xdr:nvGrpSpPr>
        <xdr:cNvPr id="13" name="Group 12"/>
        <xdr:cNvGrpSpPr/>
      </xdr:nvGrpSpPr>
      <xdr:grpSpPr>
        <a:xfrm>
          <a:off x="368300" y="381000"/>
          <a:ext cx="10107712" cy="1016000"/>
          <a:chOff x="839651" y="2072758"/>
          <a:chExt cx="9683676" cy="1016000"/>
        </a:xfrm>
      </xdr:grpSpPr>
      <xdr:grpSp>
        <xdr:nvGrpSpPr>
          <xdr:cNvPr id="14" name="Group 13"/>
          <xdr:cNvGrpSpPr/>
        </xdr:nvGrpSpPr>
        <xdr:grpSpPr>
          <a:xfrm>
            <a:off x="839651" y="2072758"/>
            <a:ext cx="9683676" cy="1016000"/>
            <a:chOff x="3549771" y="4294372"/>
            <a:chExt cx="5936952" cy="1016000"/>
          </a:xfrm>
        </xdr:grpSpPr>
        <xdr:sp macro="" textlink="">
          <xdr:nvSpPr>
            <xdr:cNvPr id="16" name="Rounded Rectangle 15"/>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7" name="Rounded Rectangle 16"/>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15" name="TextBox 14"/>
          <xdr:cNvSpPr txBox="1"/>
        </xdr:nvSpPr>
        <xdr:spPr>
          <a:xfrm>
            <a:off x="1025504" y="2159000"/>
            <a:ext cx="9320032"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Are You Ready to Raise Capital?</a:t>
            </a:r>
          </a:p>
        </xdr:txBody>
      </xdr:sp>
    </xdr:grpSp>
    <xdr:clientData/>
  </xdr:twoCellAnchor>
  <xdr:twoCellAnchor>
    <xdr:from>
      <xdr:col>5</xdr:col>
      <xdr:colOff>322520</xdr:colOff>
      <xdr:row>20</xdr:row>
      <xdr:rowOff>11814</xdr:rowOff>
    </xdr:from>
    <xdr:to>
      <xdr:col>12</xdr:col>
      <xdr:colOff>480972</xdr:colOff>
      <xdr:row>25</xdr:row>
      <xdr:rowOff>75314</xdr:rowOff>
    </xdr:to>
    <xdr:grpSp>
      <xdr:nvGrpSpPr>
        <xdr:cNvPr id="18" name="Group 17"/>
        <xdr:cNvGrpSpPr/>
      </xdr:nvGrpSpPr>
      <xdr:grpSpPr>
        <a:xfrm>
          <a:off x="4450020" y="3821814"/>
          <a:ext cx="5936952" cy="1016000"/>
          <a:chOff x="3549771" y="4294372"/>
          <a:chExt cx="5936952" cy="1016000"/>
        </a:xfrm>
      </xdr:grpSpPr>
      <xdr:grpSp>
        <xdr:nvGrpSpPr>
          <xdr:cNvPr id="19" name="Group 18"/>
          <xdr:cNvGrpSpPr/>
        </xdr:nvGrpSpPr>
        <xdr:grpSpPr>
          <a:xfrm>
            <a:off x="3549771" y="4294372"/>
            <a:ext cx="5936952" cy="1016000"/>
            <a:chOff x="3288117" y="4306186"/>
            <a:chExt cx="6186083" cy="1016000"/>
          </a:xfrm>
        </xdr:grpSpPr>
        <xdr:sp macro="" textlink="">
          <xdr:nvSpPr>
            <xdr:cNvPr id="21" name="Rounded Rectangle 20"/>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2" name="Rounded Rectangle 21"/>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20" name="TextBox 19">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88900</xdr:colOff>
      <xdr:row>0</xdr:row>
      <xdr:rowOff>330200</xdr:rowOff>
    </xdr:from>
    <xdr:to>
      <xdr:col>5</xdr:col>
      <xdr:colOff>727075</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88900" y="330200"/>
          <a:ext cx="4321175" cy="317500"/>
        </a:xfrm>
        <a:prstGeom prst="rect">
          <a:avLst/>
        </a:prstGeom>
      </xdr:spPr>
    </xdr:sp>
    <xdr:clientData/>
  </xdr:twoCellAnchor>
  <xdr:twoCellAnchor editAs="oneCell">
    <xdr:from>
      <xdr:col>1</xdr:col>
      <xdr:colOff>0</xdr:colOff>
      <xdr:row>1</xdr:row>
      <xdr:rowOff>0</xdr:rowOff>
    </xdr:from>
    <xdr:to>
      <xdr:col>5</xdr:col>
      <xdr:colOff>638175</xdr:colOff>
      <xdr:row>2</xdr:row>
      <xdr:rowOff>41275</xdr:rowOff>
    </xdr:to>
    <xdr:sp macro="" textlink="">
      <xdr:nvSpPr>
        <xdr:cNvPr id="3" name="Processes" hidden="1">
          <a:extLst>
            <a:ext uri="{63B3BB69-23CF-44E3-9099-C40C66FF867C}">
              <a14:compatExt xmlns:a14="http://schemas.microsoft.com/office/drawing/2010/main" spid="_x0000_s5873929"/>
            </a:ext>
          </a:extLst>
        </xdr:cNvPr>
        <xdr:cNvSpPr/>
      </xdr:nvSpPr>
      <xdr:spPr>
        <a:xfrm>
          <a:off x="0" y="1270000"/>
          <a:ext cx="4321175" cy="307975"/>
        </a:xfrm>
        <a:prstGeom prst="rect">
          <a:avLst/>
        </a:prstGeom>
      </xdr:spPr>
    </xdr:sp>
    <xdr:clientData/>
  </xdr:twoCellAnchor>
  <xdr:twoCellAnchor editAs="oneCell">
    <xdr:from>
      <xdr:col>1</xdr:col>
      <xdr:colOff>0</xdr:colOff>
      <xdr:row>1</xdr:row>
      <xdr:rowOff>0</xdr:rowOff>
    </xdr:from>
    <xdr:to>
      <xdr:col>5</xdr:col>
      <xdr:colOff>638175</xdr:colOff>
      <xdr:row>2</xdr:row>
      <xdr:rowOff>44450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0" y="1270000"/>
          <a:ext cx="4321175" cy="311150"/>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6"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7"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8"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9"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0"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1"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2"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3"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4"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5"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6"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7"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8"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9"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20"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21" name="Processes" hidden="1">
          <a:extLst>
            <a:ext uri="{63B3BB69-23CF-44E3-9099-C40C66FF867C}">
              <a14:compatExt xmlns:a14="http://schemas.microsoft.com/office/drawing/2010/main" spid="_x0000_s5873929"/>
            </a:ext>
          </a:extLst>
        </xdr:cNvPr>
        <xdr:cNvSpPr/>
      </xdr:nvSpPr>
      <xdr:spPr>
        <a:xfrm>
          <a:off x="0" y="1270000"/>
          <a:ext cx="4321175"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22" name="Processes" hidden="1">
          <a:extLst>
            <a:ext uri="{63B3BB69-23CF-44E3-9099-C40C66FF867C}">
              <a14:compatExt xmlns:a14="http://schemas.microsoft.com/office/drawing/2010/main" spid="_x0000_s5873929"/>
            </a:ext>
          </a:extLst>
        </xdr:cNvPr>
        <xdr:cNvSpPr/>
      </xdr:nvSpPr>
      <xdr:spPr>
        <a:xfrm>
          <a:off x="0" y="1270000"/>
          <a:ext cx="4321175"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41275</xdr:rowOff>
    </xdr:to>
    <xdr:sp macro="" textlink="">
      <xdr:nvSpPr>
        <xdr:cNvPr id="23" name="Processes" hidden="1">
          <a:extLst>
            <a:ext uri="{63B3BB69-23CF-44E3-9099-C40C66FF867C}">
              <a14:compatExt xmlns:a14="http://schemas.microsoft.com/office/drawing/2010/main" spid="_x0000_s5873929"/>
            </a:ext>
          </a:extLst>
        </xdr:cNvPr>
        <xdr:cNvSpPr/>
      </xdr:nvSpPr>
      <xdr:spPr>
        <a:xfrm>
          <a:off x="0" y="1270000"/>
          <a:ext cx="4321175" cy="307975"/>
        </a:xfrm>
        <a:prstGeom prst="rect">
          <a:avLst/>
        </a:prstGeom>
      </xdr:spPr>
    </xdr:sp>
    <xdr:clientData/>
  </xdr:twoCellAnchor>
  <xdr:twoCellAnchor>
    <xdr:from>
      <xdr:col>1</xdr:col>
      <xdr:colOff>0</xdr:colOff>
      <xdr:row>3</xdr:row>
      <xdr:rowOff>47625</xdr:rowOff>
    </xdr:from>
    <xdr:to>
      <xdr:col>10</xdr:col>
      <xdr:colOff>561975</xdr:colOff>
      <xdr:row>30</xdr:row>
      <xdr:rowOff>85725</xdr:rowOff>
    </xdr:to>
    <xdr:graphicFrame macro="">
      <xdr:nvGraphicFramePr>
        <xdr:cNvPr id="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17</xdr:col>
          <xdr:colOff>139700</xdr:colOff>
          <xdr:row>3</xdr:row>
          <xdr:rowOff>12700</xdr:rowOff>
        </xdr:from>
        <xdr:to>
          <xdr:col>18</xdr:col>
          <xdr:colOff>419100</xdr:colOff>
          <xdr:row>3</xdr:row>
          <xdr:rowOff>203200</xdr:rowOff>
        </xdr:to>
        <xdr:sp macro="" textlink="">
          <xdr:nvSpPr>
            <xdr:cNvPr id="12289" name="Scroll Bar 1" hidden="1">
              <a:extLst>
                <a:ext uri="{63B3BB69-23CF-44E3-9099-C40C66FF867C}">
                  <a14:compatExt spid="_x0000_s1228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4</xdr:row>
          <xdr:rowOff>38100</xdr:rowOff>
        </xdr:from>
        <xdr:to>
          <xdr:col>18</xdr:col>
          <xdr:colOff>419100</xdr:colOff>
          <xdr:row>5</xdr:row>
          <xdr:rowOff>12700</xdr:rowOff>
        </xdr:to>
        <xdr:sp macro="" textlink="">
          <xdr:nvSpPr>
            <xdr:cNvPr id="12290" name="Scroll Bar 2" hidden="1">
              <a:extLst>
                <a:ext uri="{63B3BB69-23CF-44E3-9099-C40C66FF867C}">
                  <a14:compatExt spid="_x0000_s1229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10</xdr:row>
          <xdr:rowOff>215900</xdr:rowOff>
        </xdr:from>
        <xdr:to>
          <xdr:col>18</xdr:col>
          <xdr:colOff>419100</xdr:colOff>
          <xdr:row>11</xdr:row>
          <xdr:rowOff>177800</xdr:rowOff>
        </xdr:to>
        <xdr:sp macro="" textlink="">
          <xdr:nvSpPr>
            <xdr:cNvPr id="12291" name="Scroll Bar 3" hidden="1">
              <a:extLst>
                <a:ext uri="{63B3BB69-23CF-44E3-9099-C40C66FF867C}">
                  <a14:compatExt spid="_x0000_s1229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12</xdr:row>
          <xdr:rowOff>215900</xdr:rowOff>
        </xdr:from>
        <xdr:to>
          <xdr:col>18</xdr:col>
          <xdr:colOff>419100</xdr:colOff>
          <xdr:row>13</xdr:row>
          <xdr:rowOff>177800</xdr:rowOff>
        </xdr:to>
        <xdr:sp macro="" textlink="">
          <xdr:nvSpPr>
            <xdr:cNvPr id="12292" name="Scroll Bar 4" hidden="1">
              <a:extLst>
                <a:ext uri="{63B3BB69-23CF-44E3-9099-C40C66FF867C}">
                  <a14:compatExt spid="_x0000_s1229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22</xdr:row>
          <xdr:rowOff>0</xdr:rowOff>
        </xdr:from>
        <xdr:to>
          <xdr:col>18</xdr:col>
          <xdr:colOff>419100</xdr:colOff>
          <xdr:row>22</xdr:row>
          <xdr:rowOff>190500</xdr:rowOff>
        </xdr:to>
        <xdr:sp macro="" textlink="">
          <xdr:nvSpPr>
            <xdr:cNvPr id="12293" name="Scroll Bar 5" hidden="1">
              <a:extLst>
                <a:ext uri="{63B3BB69-23CF-44E3-9099-C40C66FF867C}">
                  <a14:compatExt spid="_x0000_s1229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14</xdr:row>
          <xdr:rowOff>215900</xdr:rowOff>
        </xdr:from>
        <xdr:to>
          <xdr:col>18</xdr:col>
          <xdr:colOff>419100</xdr:colOff>
          <xdr:row>15</xdr:row>
          <xdr:rowOff>177800</xdr:rowOff>
        </xdr:to>
        <xdr:sp macro="" textlink="">
          <xdr:nvSpPr>
            <xdr:cNvPr id="12294" name="Scroll Bar 6" hidden="1">
              <a:extLst>
                <a:ext uri="{63B3BB69-23CF-44E3-9099-C40C66FF867C}">
                  <a14:compatExt spid="_x0000_s1229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19</xdr:row>
          <xdr:rowOff>215900</xdr:rowOff>
        </xdr:from>
        <xdr:to>
          <xdr:col>18</xdr:col>
          <xdr:colOff>419100</xdr:colOff>
          <xdr:row>20</xdr:row>
          <xdr:rowOff>177800</xdr:rowOff>
        </xdr:to>
        <xdr:sp macro="" textlink="">
          <xdr:nvSpPr>
            <xdr:cNvPr id="12295" name="Scroll Bar 7" hidden="1">
              <a:extLst>
                <a:ext uri="{63B3BB69-23CF-44E3-9099-C40C66FF867C}">
                  <a14:compatExt spid="_x0000_s1229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24</xdr:row>
          <xdr:rowOff>0</xdr:rowOff>
        </xdr:from>
        <xdr:to>
          <xdr:col>18</xdr:col>
          <xdr:colOff>419100</xdr:colOff>
          <xdr:row>24</xdr:row>
          <xdr:rowOff>190500</xdr:rowOff>
        </xdr:to>
        <xdr:sp macro="" textlink="">
          <xdr:nvSpPr>
            <xdr:cNvPr id="12296" name="Scroll Bar 8" hidden="1">
              <a:extLst>
                <a:ext uri="{63B3BB69-23CF-44E3-9099-C40C66FF867C}">
                  <a14:compatExt spid="_x0000_s12296"/>
                </a:ext>
              </a:extLst>
            </xdr:cNvPr>
            <xdr:cNvSpPr/>
          </xdr:nvSpPr>
          <xdr:spPr>
            <a:xfrm>
              <a:off x="0" y="0"/>
              <a:ext cx="0" cy="0"/>
            </a:xfrm>
            <a:prstGeom prst="rect">
              <a:avLst/>
            </a:prstGeom>
          </xdr:spPr>
        </xdr:sp>
        <xdr:clientData fPrintsWithSheet="0"/>
      </xdr:twoCellAnchor>
    </mc:Choice>
    <mc:Fallback/>
  </mc:AlternateContent>
  <xdr:twoCellAnchor>
    <xdr:from>
      <xdr:col>13</xdr:col>
      <xdr:colOff>445769</xdr:colOff>
      <xdr:row>2</xdr:row>
      <xdr:rowOff>0</xdr:rowOff>
    </xdr:from>
    <xdr:to>
      <xdr:col>15</xdr:col>
      <xdr:colOff>1206499</xdr:colOff>
      <xdr:row>35</xdr:row>
      <xdr:rowOff>142875</xdr:rowOff>
    </xdr:to>
    <xdr:sp macro="" textlink="">
      <xdr:nvSpPr>
        <xdr:cNvPr id="34" name="Rectangle 33"/>
        <xdr:cNvSpPr/>
      </xdr:nvSpPr>
      <xdr:spPr>
        <a:xfrm>
          <a:off x="10637519" y="1539875"/>
          <a:ext cx="2459355" cy="7524750"/>
        </a:xfrm>
        <a:prstGeom prst="rect">
          <a:avLst/>
        </a:prstGeom>
        <a:solidFill>
          <a:srgbClr val="FFFFFF">
            <a:alpha val="0"/>
          </a:srgb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1</xdr:col>
      <xdr:colOff>0</xdr:colOff>
      <xdr:row>38</xdr:row>
      <xdr:rowOff>142875</xdr:rowOff>
    </xdr:from>
    <xdr:to>
      <xdr:col>10</xdr:col>
      <xdr:colOff>0</xdr:colOff>
      <xdr:row>59</xdr:row>
      <xdr:rowOff>149225</xdr:rowOff>
    </xdr:to>
    <xdr:sp macro="" textlink="">
      <xdr:nvSpPr>
        <xdr:cNvPr id="49" name="TextBox 48"/>
        <xdr:cNvSpPr txBox="1"/>
      </xdr:nvSpPr>
      <xdr:spPr>
        <a:xfrm>
          <a:off x="444500" y="9652000"/>
          <a:ext cx="7858125" cy="3340100"/>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rtl="0">
            <a:spcAft>
              <a:spcPts val="1200"/>
            </a:spcAft>
            <a:defRPr sz="1000"/>
          </a:pPr>
          <a:r>
            <a:rPr lang="en-US" sz="2000" b="1" i="1" u="sng" strike="noStrike" baseline="0">
              <a:solidFill>
                <a:srgbClr val="0D0F11"/>
              </a:solidFill>
              <a:latin typeface="Arial"/>
              <a:cs typeface="Arial"/>
            </a:rPr>
            <a:t>The Breakeven Model</a:t>
          </a:r>
        </a:p>
        <a:p>
          <a:pPr algn="l" rtl="0">
            <a:spcAft>
              <a:spcPts val="1200"/>
            </a:spcAft>
            <a:defRPr sz="1000"/>
          </a:pPr>
          <a:r>
            <a:rPr lang="en-US" sz="1800" b="0" i="0" u="none" strike="noStrike" baseline="0">
              <a:solidFill>
                <a:srgbClr val="0D0F11"/>
              </a:solidFill>
              <a:latin typeface="Arial"/>
              <a:cs typeface="Arial"/>
            </a:rPr>
            <a:t>This model shows graphically whether you will make or lose money at different sales volumes, based on the unit price you are testing and the amount you will need to spend. The red line shows the overhead you will spend even if you make and sell nothing. The blue line shows how much you will spend for the units you make, added to the overhead line. The green line shows how much revenue will be generated as the volume increases. Where the green line crosses the blue line is the point at which you break even - the revenue exactly equals the total costs. To the right of that point profit increases; to the left profit decreases.</a:t>
          </a:r>
        </a:p>
      </xdr:txBody>
    </xdr:sp>
    <xdr:clientData fPrintsWithSheet="0"/>
  </xdr:twoCellAnchor>
  <xdr:twoCellAnchor>
    <xdr:from>
      <xdr:col>10</xdr:col>
      <xdr:colOff>555625</xdr:colOff>
      <xdr:row>39</xdr:row>
      <xdr:rowOff>47625</xdr:rowOff>
    </xdr:from>
    <xdr:to>
      <xdr:col>19</xdr:col>
      <xdr:colOff>79376</xdr:colOff>
      <xdr:row>55</xdr:row>
      <xdr:rowOff>126999</xdr:rowOff>
    </xdr:to>
    <xdr:sp macro="" textlink="">
      <xdr:nvSpPr>
        <xdr:cNvPr id="52" name="TextBox 51"/>
        <xdr:cNvSpPr txBox="1"/>
      </xdr:nvSpPr>
      <xdr:spPr>
        <a:xfrm>
          <a:off x="8858250" y="9715500"/>
          <a:ext cx="6477001" cy="2619374"/>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rtl="0">
            <a:spcAft>
              <a:spcPts val="1200"/>
            </a:spcAft>
            <a:defRPr sz="1000"/>
          </a:pPr>
          <a:r>
            <a:rPr lang="en-US" sz="1800" b="0" i="0" u="none" strike="noStrike" baseline="0">
              <a:solidFill>
                <a:srgbClr val="0D0F11"/>
              </a:solidFill>
              <a:latin typeface="Arial"/>
              <a:cs typeface="Arial"/>
            </a:rPr>
            <a:t>To use this model, move the sliders in the dark blue area:</a:t>
          </a:r>
        </a:p>
        <a:p>
          <a:pPr marL="457200" indent="-342900" algn="l" rtl="0">
            <a:buFont typeface="+mj-lt"/>
            <a:buAutoNum type="arabicPeriod"/>
            <a:defRPr sz="1000"/>
          </a:pPr>
          <a:r>
            <a:rPr lang="en-US" sz="1800" b="0" i="0" u="none" strike="noStrike" baseline="0">
              <a:solidFill>
                <a:srgbClr val="0D0F11"/>
              </a:solidFill>
              <a:latin typeface="Arial"/>
              <a:cs typeface="Arial"/>
            </a:rPr>
            <a:t>Set the sales volume between 0 and 2,500 units</a:t>
          </a:r>
        </a:p>
        <a:p>
          <a:pPr marL="457200" indent="-342900" algn="l" rtl="0">
            <a:buFont typeface="+mj-lt"/>
            <a:buAutoNum type="arabicPeriod"/>
            <a:defRPr sz="1000"/>
          </a:pPr>
          <a:r>
            <a:rPr lang="en-US" sz="1800" b="0" i="0" u="none" strike="noStrike" baseline="0">
              <a:solidFill>
                <a:srgbClr val="0D0F11"/>
              </a:solidFill>
              <a:latin typeface="Arial"/>
              <a:cs typeface="Arial"/>
            </a:rPr>
            <a:t>Set the unit price between 0 and $1,000</a:t>
          </a:r>
        </a:p>
        <a:p>
          <a:pPr marL="457200" indent="-342900" algn="l" rtl="0">
            <a:buFont typeface="+mj-lt"/>
            <a:buAutoNum type="arabicPeriod"/>
            <a:defRPr sz="1000"/>
          </a:pPr>
          <a:r>
            <a:rPr lang="en-US" sz="1800" b="0" i="0" u="none" strike="noStrike" baseline="0">
              <a:solidFill>
                <a:srgbClr val="0D0F11"/>
              </a:solidFill>
              <a:latin typeface="Arial"/>
              <a:cs typeface="Arial"/>
            </a:rPr>
            <a:t>Set the Variable Costs (Labor, Material, and Factory Overhead required to produce one unit) each to between 0 and $1,000 per unit</a:t>
          </a:r>
        </a:p>
        <a:p>
          <a:pPr marL="457200" indent="-342900" algn="l" rtl="0">
            <a:spcAft>
              <a:spcPts val="1200"/>
            </a:spcAft>
            <a:buFont typeface="+mj-lt"/>
            <a:buAutoNum type="arabicPeriod"/>
            <a:defRPr sz="1000"/>
          </a:pPr>
          <a:r>
            <a:rPr lang="en-US" sz="1800" b="0" i="0" u="none" strike="noStrike" baseline="0">
              <a:solidFill>
                <a:srgbClr val="0D0F11"/>
              </a:solidFill>
              <a:latin typeface="Arial"/>
              <a:cs typeface="Arial"/>
            </a:rPr>
            <a:t>Set each of the Fixed Costs (SG&amp;A, Depreciation, and Other Overhead) between 0 and $19.9 M million </a:t>
          </a:r>
        </a:p>
      </xdr:txBody>
    </xdr:sp>
    <xdr:clientData fPrintsWithSheet="0"/>
  </xdr:twoCellAnchor>
  <xdr:twoCellAnchor>
    <xdr:from>
      <xdr:col>0</xdr:col>
      <xdr:colOff>0</xdr:colOff>
      <xdr:row>0</xdr:row>
      <xdr:rowOff>158750</xdr:rowOff>
    </xdr:from>
    <xdr:to>
      <xdr:col>17</xdr:col>
      <xdr:colOff>746125</xdr:colOff>
      <xdr:row>0</xdr:row>
      <xdr:rowOff>866636</xdr:rowOff>
    </xdr:to>
    <xdr:grpSp>
      <xdr:nvGrpSpPr>
        <xdr:cNvPr id="55" name="Group 54"/>
        <xdr:cNvGrpSpPr/>
      </xdr:nvGrpSpPr>
      <xdr:grpSpPr>
        <a:xfrm>
          <a:off x="0" y="158750"/>
          <a:ext cx="14303375" cy="707886"/>
          <a:chOff x="0" y="0"/>
          <a:chExt cx="14303375" cy="707886"/>
        </a:xfrm>
      </xdr:grpSpPr>
      <xdr:sp macro="" textlink="">
        <xdr:nvSpPr>
          <xdr:cNvPr id="56" name="TextBox 5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Breakeven Chart</a:t>
            </a:r>
          </a:p>
        </xdr:txBody>
      </xdr:sp>
      <xdr:grpSp>
        <xdr:nvGrpSpPr>
          <xdr:cNvPr id="57" name="Group 56"/>
          <xdr:cNvGrpSpPr/>
        </xdr:nvGrpSpPr>
        <xdr:grpSpPr>
          <a:xfrm>
            <a:off x="10302875" y="0"/>
            <a:ext cx="4000500" cy="603250"/>
            <a:chOff x="1231900" y="2944298"/>
            <a:chExt cx="4330700" cy="719667"/>
          </a:xfrm>
        </xdr:grpSpPr>
        <xdr:grpSp>
          <xdr:nvGrpSpPr>
            <xdr:cNvPr id="58" name="Group 57"/>
            <xdr:cNvGrpSpPr/>
          </xdr:nvGrpSpPr>
          <xdr:grpSpPr>
            <a:xfrm>
              <a:off x="1231900" y="2944298"/>
              <a:ext cx="4330700" cy="719667"/>
              <a:chOff x="1231900" y="3987800"/>
              <a:chExt cx="4330700" cy="719667"/>
            </a:xfrm>
          </xdr:grpSpPr>
          <xdr:sp macro="" textlink="">
            <xdr:nvSpPr>
              <xdr:cNvPr id="62" name="Left-Right Arrow 6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63" name="Group 62"/>
              <xdr:cNvGrpSpPr/>
            </xdr:nvGrpSpPr>
            <xdr:grpSpPr>
              <a:xfrm>
                <a:off x="1231900" y="3987800"/>
                <a:ext cx="4330700" cy="719667"/>
                <a:chOff x="1231900" y="3987800"/>
                <a:chExt cx="4330700" cy="863600"/>
              </a:xfrm>
            </xdr:grpSpPr>
            <xdr:sp macro="" textlink="">
              <xdr:nvSpPr>
                <xdr:cNvPr id="64" name="Left-Right Arrow 6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65" name="Straight Connector 6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66" name="Straight Connector 6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9" name="TextBox 58">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60" name="TextBox 59">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61" name="TextBox 60">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508001</xdr:colOff>
      <xdr:row>44</xdr:row>
      <xdr:rowOff>34472</xdr:rowOff>
    </xdr:to>
    <xdr:grpSp>
      <xdr:nvGrpSpPr>
        <xdr:cNvPr id="3" name="Group 2"/>
        <xdr:cNvGrpSpPr/>
      </xdr:nvGrpSpPr>
      <xdr:grpSpPr>
        <a:xfrm>
          <a:off x="444500" y="1270000"/>
          <a:ext cx="7667626" cy="6860722"/>
          <a:chOff x="666750" y="1283154"/>
          <a:chExt cx="7667626" cy="6860722"/>
        </a:xfrm>
      </xdr:grpSpPr>
      <xdr:sp macro="" textlink="">
        <xdr:nvSpPr>
          <xdr:cNvPr id="8" name="TextBox 7"/>
          <xdr:cNvSpPr txBox="1"/>
        </xdr:nvSpPr>
        <xdr:spPr>
          <a:xfrm>
            <a:off x="666750" y="1283154"/>
            <a:ext cx="7604124" cy="6860722"/>
          </a:xfrm>
          <a:prstGeom prst="rect">
            <a:avLst/>
          </a:prstGeom>
          <a:solidFill>
            <a:schemeClr val="bg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900"/>
              </a:lnSpc>
            </a:pPr>
            <a:r>
              <a:rPr lang="en-US" sz="1800" b="1" u="sng">
                <a:solidFill>
                  <a:sysClr val="windowText" lastClr="000000"/>
                </a:solidFill>
                <a:latin typeface="Arial"/>
                <a:cs typeface="Arial"/>
              </a:rPr>
              <a:t>THIS IS THE CONTROL PAGE</a:t>
            </a:r>
          </a:p>
          <a:p>
            <a:pPr>
              <a:lnSpc>
                <a:spcPts val="1900"/>
              </a:lnSpc>
            </a:pPr>
            <a:r>
              <a:rPr lang="en-US" sz="1600" b="1" i="1">
                <a:solidFill>
                  <a:sysClr val="windowText" lastClr="000000"/>
                </a:solidFill>
                <a:latin typeface="Arial"/>
                <a:cs typeface="Arial"/>
              </a:rPr>
              <a:t>RETURN</a:t>
            </a:r>
            <a:r>
              <a:rPr lang="en-US" sz="1600" b="1" i="1" baseline="0">
                <a:solidFill>
                  <a:sysClr val="windowText" lastClr="000000"/>
                </a:solidFill>
                <a:latin typeface="Arial"/>
                <a:cs typeface="Arial"/>
              </a:rPr>
              <a:t> HERE TO NAVIGATE IN THIS START-UP TOOL.</a:t>
            </a:r>
          </a:p>
          <a:p>
            <a:pPr>
              <a:lnSpc>
                <a:spcPts val="1900"/>
              </a:lnSpc>
            </a:pPr>
            <a:r>
              <a:rPr lang="en-US" sz="1600" b="1" i="1" baseline="0">
                <a:solidFill>
                  <a:sysClr val="windowText" lastClr="000000"/>
                </a:solidFill>
                <a:latin typeface="Arial"/>
                <a:cs typeface="Arial"/>
              </a:rPr>
              <a:t>ADDITIONAL INSTRUCTIONS ARE POSTED ON EACH WORKSHEET.</a:t>
            </a:r>
          </a:p>
          <a:p>
            <a:pPr>
              <a:lnSpc>
                <a:spcPts val="1900"/>
              </a:lnSpc>
            </a:pPr>
            <a:endParaRPr lang="en-US" sz="1600" b="1" baseline="0">
              <a:solidFill>
                <a:sysClr val="windowText" lastClr="000000"/>
              </a:solidFill>
              <a:latin typeface="Arial"/>
              <a:cs typeface="Arial"/>
            </a:endParaRPr>
          </a:p>
          <a:p>
            <a:pPr>
              <a:lnSpc>
                <a:spcPts val="1900"/>
              </a:lnSpc>
            </a:pPr>
            <a:r>
              <a:rPr lang="en-US" sz="1600" b="0">
                <a:solidFill>
                  <a:sysClr val="windowText" lastClr="000000"/>
                </a:solidFill>
                <a:latin typeface="Arial"/>
                <a:cs typeface="Arial"/>
              </a:rPr>
              <a:t>This tool is designed to organize</a:t>
            </a:r>
            <a:r>
              <a:rPr lang="en-US" sz="1600" b="0" baseline="0">
                <a:solidFill>
                  <a:sysClr val="windowText" lastClr="000000"/>
                </a:solidFill>
                <a:latin typeface="Arial"/>
                <a:cs typeface="Arial"/>
              </a:rPr>
              <a:t> financials and perform basic calculations for a start up company / standalone operation. Instructions appear on each page. Use the pages in the order shown:</a:t>
            </a: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900"/>
              </a:lnSpc>
            </a:pPr>
            <a:endParaRPr lang="en-US" sz="1600" b="0" baseline="0">
              <a:solidFill>
                <a:sysClr val="windowText" lastClr="000000"/>
              </a:solidFill>
              <a:latin typeface="Arial"/>
              <a:cs typeface="Arial"/>
            </a:endParaRPr>
          </a:p>
          <a:p>
            <a:pPr>
              <a:lnSpc>
                <a:spcPts val="1800"/>
              </a:lnSpc>
            </a:pPr>
            <a:endParaRPr lang="en-US" sz="1600" b="0" baseline="0">
              <a:solidFill>
                <a:sysClr val="windowText" lastClr="000000"/>
              </a:solidFill>
              <a:latin typeface="Arial"/>
              <a:cs typeface="Arial"/>
            </a:endParaRPr>
          </a:p>
          <a:p>
            <a:pPr>
              <a:lnSpc>
                <a:spcPts val="1900"/>
              </a:lnSpc>
            </a:pPr>
            <a:r>
              <a:rPr lang="en-US" sz="1600" b="0" baseline="0">
                <a:solidFill>
                  <a:sysClr val="windowText" lastClr="000000"/>
                </a:solidFill>
                <a:latin typeface="Arial"/>
                <a:cs typeface="Arial"/>
              </a:rPr>
              <a:t>Special features: </a:t>
            </a:r>
          </a:p>
          <a:p>
            <a:pPr marL="285750" indent="-285750">
              <a:lnSpc>
                <a:spcPts val="1800"/>
              </a:lnSpc>
              <a:buFont typeface="Courier New"/>
              <a:buChar char="o"/>
            </a:pPr>
            <a:r>
              <a:rPr lang="en-US" sz="1600" b="0" baseline="0">
                <a:solidFill>
                  <a:sysClr val="windowText" lastClr="000000"/>
                </a:solidFill>
                <a:latin typeface="Arial"/>
                <a:cs typeface="Arial"/>
              </a:rPr>
              <a:t>Profit After Tax is automatically transferred to Retained Earnings.</a:t>
            </a:r>
          </a:p>
          <a:p>
            <a:pPr marL="285750" indent="-285750">
              <a:lnSpc>
                <a:spcPts val="1800"/>
              </a:lnSpc>
              <a:buFont typeface="Courier New"/>
              <a:buChar char="o"/>
            </a:pPr>
            <a:r>
              <a:rPr lang="en-US" sz="1600" b="0" baseline="0">
                <a:solidFill>
                  <a:sysClr val="windowText" lastClr="000000"/>
                </a:solidFill>
                <a:latin typeface="Arial"/>
                <a:cs typeface="Arial"/>
              </a:rPr>
              <a:t>Cash from the Cash Flow page is used to keep the Balance Sheet balanced.</a:t>
            </a:r>
            <a:endParaRPr lang="en-US" sz="1600" b="0">
              <a:solidFill>
                <a:sysClr val="windowText" lastClr="000000"/>
              </a:solidFill>
              <a:latin typeface="Arial"/>
              <a:cs typeface="Arial"/>
            </a:endParaRPr>
          </a:p>
        </xdr:txBody>
      </xdr:sp>
      <xdr:grpSp>
        <xdr:nvGrpSpPr>
          <xdr:cNvPr id="4" name="Group 3"/>
          <xdr:cNvGrpSpPr/>
        </xdr:nvGrpSpPr>
        <xdr:grpSpPr>
          <a:xfrm>
            <a:off x="873125" y="3292930"/>
            <a:ext cx="7461251" cy="3438070"/>
            <a:chOff x="307843" y="1864180"/>
            <a:chExt cx="6940342" cy="3438070"/>
          </a:xfrm>
        </xdr:grpSpPr>
        <xdr:grpSp>
          <xdr:nvGrpSpPr>
            <xdr:cNvPr id="2" name="Group 1"/>
            <xdr:cNvGrpSpPr/>
          </xdr:nvGrpSpPr>
          <xdr:grpSpPr>
            <a:xfrm>
              <a:off x="307843" y="1875518"/>
              <a:ext cx="2270585" cy="3292928"/>
              <a:chOff x="6749141" y="2526393"/>
              <a:chExt cx="3651262" cy="3467553"/>
            </a:xfrm>
          </xdr:grpSpPr>
          <xdr:sp macro="" textlink="">
            <xdr:nvSpPr>
              <xdr:cNvPr id="9" name="Bevel 8">
                <a:hlinkClick xmlns:r="http://schemas.openxmlformats.org/officeDocument/2006/relationships" r:id="rId1"/>
              </xdr:cNvPr>
              <xdr:cNvSpPr/>
            </xdr:nvSpPr>
            <xdr:spPr>
              <a:xfrm>
                <a:off x="6749153" y="2526393"/>
                <a:ext cx="3651250" cy="489856"/>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l"/>
                <a:r>
                  <a:rPr lang="en-US" sz="2000">
                    <a:solidFill>
                      <a:schemeClr val="lt1"/>
                    </a:solidFill>
                    <a:latin typeface="Arial"/>
                    <a:ea typeface="+mn-ea"/>
                    <a:cs typeface="Arial"/>
                  </a:rPr>
                  <a:t>1.  Parameters</a:t>
                </a:r>
              </a:p>
            </xdr:txBody>
          </xdr:sp>
          <xdr:sp macro="" textlink="">
            <xdr:nvSpPr>
              <xdr:cNvPr id="10" name="Bevel 9">
                <a:hlinkClick xmlns:r="http://schemas.openxmlformats.org/officeDocument/2006/relationships" r:id="rId2"/>
              </xdr:cNvPr>
              <xdr:cNvSpPr/>
            </xdr:nvSpPr>
            <xdr:spPr>
              <a:xfrm>
                <a:off x="6749153" y="3043466"/>
                <a:ext cx="3651250" cy="45810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l"/>
                <a:r>
                  <a:rPr lang="en-US" sz="2000">
                    <a:solidFill>
                      <a:schemeClr val="lt1"/>
                    </a:solidFill>
                    <a:latin typeface="Arial"/>
                    <a:ea typeface="+mn-ea"/>
                    <a:cs typeface="Arial"/>
                  </a:rPr>
                  <a:t>2.</a:t>
                </a:r>
                <a:r>
                  <a:rPr lang="en-US" sz="2000" baseline="0">
                    <a:solidFill>
                      <a:schemeClr val="lt1"/>
                    </a:solidFill>
                    <a:latin typeface="Arial"/>
                    <a:ea typeface="+mn-ea"/>
                    <a:cs typeface="Arial"/>
                  </a:rPr>
                  <a:t>  </a:t>
                </a:r>
                <a:r>
                  <a:rPr lang="en-US" sz="2000">
                    <a:solidFill>
                      <a:schemeClr val="lt1"/>
                    </a:solidFill>
                    <a:latin typeface="Arial"/>
                    <a:ea typeface="+mn-ea"/>
                    <a:cs typeface="Arial"/>
                  </a:rPr>
                  <a:t>Set Volumes</a:t>
                </a:r>
              </a:p>
            </xdr:txBody>
          </xdr:sp>
          <xdr:sp macro="" textlink="">
            <xdr:nvSpPr>
              <xdr:cNvPr id="11" name="Bevel 10">
                <a:hlinkClick xmlns:r="http://schemas.openxmlformats.org/officeDocument/2006/relationships" r:id="rId3"/>
              </xdr:cNvPr>
              <xdr:cNvSpPr/>
            </xdr:nvSpPr>
            <xdr:spPr>
              <a:xfrm>
                <a:off x="6749153" y="3528789"/>
                <a:ext cx="3651250" cy="48758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l"/>
                <a:r>
                  <a:rPr lang="en-US" sz="2000">
                    <a:solidFill>
                      <a:schemeClr val="lt1"/>
                    </a:solidFill>
                    <a:latin typeface="Arial"/>
                    <a:ea typeface="+mn-ea"/>
                    <a:cs typeface="Arial"/>
                  </a:rPr>
                  <a:t>3.  Set Overhead</a:t>
                </a:r>
              </a:p>
            </xdr:txBody>
          </xdr:sp>
          <xdr:sp macro="" textlink="">
            <xdr:nvSpPr>
              <xdr:cNvPr id="12" name="Bevel 11">
                <a:hlinkClick xmlns:r="http://schemas.openxmlformats.org/officeDocument/2006/relationships" r:id="rId4"/>
              </xdr:cNvPr>
              <xdr:cNvSpPr/>
            </xdr:nvSpPr>
            <xdr:spPr>
              <a:xfrm>
                <a:off x="6749153" y="4043595"/>
                <a:ext cx="3651250" cy="43996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000">
                    <a:latin typeface="Arial"/>
                    <a:cs typeface="Arial"/>
                  </a:rPr>
                  <a:t>4.  Balance Sheet</a:t>
                </a:r>
              </a:p>
            </xdr:txBody>
          </xdr:sp>
          <xdr:sp macro="" textlink="">
            <xdr:nvSpPr>
              <xdr:cNvPr id="13" name="Bevel 12">
                <a:hlinkClick xmlns:r="http://schemas.openxmlformats.org/officeDocument/2006/relationships" r:id="rId5"/>
              </xdr:cNvPr>
              <xdr:cNvSpPr/>
            </xdr:nvSpPr>
            <xdr:spPr>
              <a:xfrm>
                <a:off x="6749153" y="4510776"/>
                <a:ext cx="3651250" cy="4762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000">
                    <a:latin typeface="Arial"/>
                    <a:cs typeface="Arial"/>
                  </a:rPr>
                  <a:t>5.  P&amp;L</a:t>
                </a:r>
              </a:p>
            </xdr:txBody>
          </xdr:sp>
          <xdr:sp macro="" textlink="">
            <xdr:nvSpPr>
              <xdr:cNvPr id="14" name="Bevel 13">
                <a:hlinkClick xmlns:r="http://schemas.openxmlformats.org/officeDocument/2006/relationships" r:id="rId6"/>
              </xdr:cNvPr>
              <xdr:cNvSpPr/>
            </xdr:nvSpPr>
            <xdr:spPr>
              <a:xfrm>
                <a:off x="6749153" y="5014243"/>
                <a:ext cx="3651250" cy="4762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000">
                    <a:latin typeface="Arial"/>
                    <a:cs typeface="Arial"/>
                  </a:rPr>
                  <a:t>6.  Cash</a:t>
                </a:r>
                <a:r>
                  <a:rPr lang="en-US" sz="2000" baseline="0">
                    <a:latin typeface="Arial"/>
                    <a:cs typeface="Arial"/>
                  </a:rPr>
                  <a:t> Flow</a:t>
                </a:r>
                <a:endParaRPr lang="en-US" sz="2000">
                  <a:latin typeface="Arial"/>
                  <a:cs typeface="Arial"/>
                </a:endParaRPr>
              </a:p>
            </xdr:txBody>
          </xdr:sp>
          <xdr:sp macro="" textlink="">
            <xdr:nvSpPr>
              <xdr:cNvPr id="16" name="Bevel 15">
                <a:hlinkClick xmlns:r="http://schemas.openxmlformats.org/officeDocument/2006/relationships" r:id="rId7"/>
              </xdr:cNvPr>
              <xdr:cNvSpPr/>
            </xdr:nvSpPr>
            <xdr:spPr>
              <a:xfrm>
                <a:off x="6749141" y="5517696"/>
                <a:ext cx="3651249" cy="476250"/>
              </a:xfrm>
              <a:prstGeom prst="bevel">
                <a:avLst/>
              </a:prstGeom>
              <a:solidFill>
                <a:srgbClr val="4F81BD"/>
              </a:solidFill>
              <a:ln w="25400" cap="flat" cmpd="sng" algn="ctr">
                <a:solidFill>
                  <a:srgbClr val="4F81BD">
                    <a:shade val="50000"/>
                  </a:srgbClr>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 lastClr="FFFFFF"/>
                    </a:solidFill>
                    <a:effectLst/>
                    <a:uLnTx/>
                    <a:uFillTx/>
                    <a:latin typeface="Arial"/>
                    <a:ea typeface="+mn-ea"/>
                    <a:cs typeface="Arial"/>
                  </a:rPr>
                  <a:t>7.  Print</a:t>
                </a:r>
              </a:p>
            </xdr:txBody>
          </xdr:sp>
        </xdr:grpSp>
        <xdr:sp macro="" textlink="">
          <xdr:nvSpPr>
            <xdr:cNvPr id="28" name="TextBox 27"/>
            <xdr:cNvSpPr txBox="1"/>
          </xdr:nvSpPr>
          <xdr:spPr>
            <a:xfrm>
              <a:off x="2620339" y="1864180"/>
              <a:ext cx="4627846" cy="3438070"/>
            </a:xfrm>
            <a:prstGeom prst="rect">
              <a:avLst/>
            </a:prstGeom>
            <a:noFill/>
            <a:ln w="28575" cmpd="sng">
              <a:noFill/>
            </a:ln>
            <a:effectLst/>
          </xdr:spPr>
          <xdr:style>
            <a:lnRef idx="0">
              <a:scrgbClr r="0" g="0" b="0"/>
            </a:lnRef>
            <a:fillRef idx="0">
              <a:scrgbClr r="0" g="0" b="0"/>
            </a:fillRef>
            <a:effectRef idx="0">
              <a:scrgbClr r="0" g="0" b="0"/>
            </a:effectRef>
            <a:fontRef idx="minor">
              <a:schemeClr val="dk1"/>
            </a:fontRef>
          </xdr:style>
          <xdr:txBody>
            <a:bodyPr wrap="square" rtlCol="0" anchor="t"/>
            <a:lstStyle/>
            <a:p>
              <a:pPr marL="0" indent="0">
                <a:lnSpc>
                  <a:spcPts val="1900"/>
                </a:lnSpc>
                <a:spcAft>
                  <a:spcPts val="1200"/>
                </a:spcAft>
                <a:buFontTx/>
                <a:buNone/>
              </a:pPr>
              <a:r>
                <a:rPr lang="en-US" sz="1600" b="0" baseline="0">
                  <a:solidFill>
                    <a:sysClr val="windowText" lastClr="000000"/>
                  </a:solidFill>
                  <a:latin typeface="Arial"/>
                  <a:cs typeface="Arial"/>
                </a:rPr>
                <a:t>Set product fundamentals, calendar periods, fixed assets, loans, and other parameters</a:t>
              </a:r>
            </a:p>
            <a:p>
              <a:pPr marL="0" indent="0">
                <a:lnSpc>
                  <a:spcPts val="1900"/>
                </a:lnSpc>
                <a:spcAft>
                  <a:spcPts val="1200"/>
                </a:spcAft>
                <a:buFontTx/>
                <a:buNone/>
              </a:pPr>
              <a:r>
                <a:rPr lang="en-US" sz="1600" b="0" baseline="0">
                  <a:solidFill>
                    <a:sysClr val="windowText" lastClr="000000"/>
                  </a:solidFill>
                  <a:latin typeface="Arial"/>
                  <a:cs typeface="Arial"/>
                </a:rPr>
                <a:t>Enter product volumes that drive revenue and cost</a:t>
              </a:r>
            </a:p>
            <a:p>
              <a:pPr marL="0" indent="0">
                <a:lnSpc>
                  <a:spcPts val="1900"/>
                </a:lnSpc>
                <a:spcAft>
                  <a:spcPts val="1200"/>
                </a:spcAft>
                <a:buFontTx/>
                <a:buNone/>
              </a:pPr>
              <a:r>
                <a:rPr lang="en-US" sz="1600" b="0" baseline="0">
                  <a:solidFill>
                    <a:sysClr val="windowText" lastClr="000000"/>
                  </a:solidFill>
                  <a:latin typeface="Arial"/>
                  <a:cs typeface="Arial"/>
                </a:rPr>
                <a:t>Enter overhead cost elements</a:t>
              </a:r>
            </a:p>
            <a:p>
              <a:pPr marL="0" indent="0">
                <a:lnSpc>
                  <a:spcPts val="1900"/>
                </a:lnSpc>
                <a:spcAft>
                  <a:spcPts val="1200"/>
                </a:spcAft>
                <a:buFontTx/>
                <a:buNone/>
              </a:pPr>
              <a:r>
                <a:rPr lang="en-US" sz="1600" b="0" baseline="0">
                  <a:solidFill>
                    <a:sysClr val="windowText" lastClr="000000"/>
                  </a:solidFill>
                  <a:latin typeface="Arial"/>
                  <a:cs typeface="Arial"/>
                </a:rPr>
                <a:t>Set Paid in Capital and other assets and review Balance Sheet</a:t>
              </a:r>
            </a:p>
            <a:p>
              <a:pPr marL="0" indent="0">
                <a:lnSpc>
                  <a:spcPts val="1900"/>
                </a:lnSpc>
                <a:spcAft>
                  <a:spcPts val="1200"/>
                </a:spcAft>
                <a:buFontTx/>
                <a:buNone/>
              </a:pPr>
              <a:r>
                <a:rPr lang="en-US" sz="1600" b="0" baseline="0">
                  <a:solidFill>
                    <a:sysClr val="windowText" lastClr="000000"/>
                  </a:solidFill>
                  <a:latin typeface="Arial"/>
                  <a:cs typeface="Arial"/>
                </a:rPr>
                <a:t>Review P&amp;L</a:t>
              </a:r>
            </a:p>
            <a:p>
              <a:pPr marL="0" indent="0">
                <a:lnSpc>
                  <a:spcPts val="1900"/>
                </a:lnSpc>
                <a:spcAft>
                  <a:spcPts val="1200"/>
                </a:spcAft>
                <a:buFontTx/>
                <a:buNone/>
              </a:pPr>
              <a:r>
                <a:rPr lang="en-US" sz="1600" b="0" baseline="0">
                  <a:solidFill>
                    <a:sysClr val="windowText" lastClr="000000"/>
                  </a:solidFill>
                  <a:latin typeface="Arial"/>
                  <a:cs typeface="Arial"/>
                </a:rPr>
                <a:t>Review Cash Flow (add dividends if appropriate)</a:t>
              </a:r>
            </a:p>
            <a:p>
              <a:pPr marL="0" indent="0">
                <a:lnSpc>
                  <a:spcPts val="1900"/>
                </a:lnSpc>
                <a:spcAft>
                  <a:spcPts val="1200"/>
                </a:spcAft>
                <a:buFontTx/>
                <a:buNone/>
              </a:pPr>
              <a:r>
                <a:rPr lang="en-US" sz="1600" b="0" baseline="0">
                  <a:solidFill>
                    <a:sysClr val="windowText" lastClr="000000"/>
                  </a:solidFill>
                  <a:latin typeface="Arial"/>
                  <a:cs typeface="Arial"/>
                </a:rPr>
                <a:t>Print out annual Financial Statements</a:t>
              </a:r>
              <a:endParaRPr lang="en-US" sz="1600" b="0">
                <a:solidFill>
                  <a:sysClr val="windowText" lastClr="000000"/>
                </a:solidFill>
                <a:latin typeface="Arial"/>
                <a:cs typeface="Arial"/>
              </a:endParaRPr>
            </a:p>
          </xdr:txBody>
        </xdr:sp>
      </xdr:grpSp>
    </xdr:grpSp>
    <xdr:clientData/>
  </xdr:twoCellAnchor>
  <xdr:twoCellAnchor>
    <xdr:from>
      <xdr:col>0</xdr:col>
      <xdr:colOff>0</xdr:colOff>
      <xdr:row>0</xdr:row>
      <xdr:rowOff>158750</xdr:rowOff>
    </xdr:from>
    <xdr:to>
      <xdr:col>24</xdr:col>
      <xdr:colOff>31750</xdr:colOff>
      <xdr:row>0</xdr:row>
      <xdr:rowOff>866636</xdr:rowOff>
    </xdr:to>
    <xdr:grpSp>
      <xdr:nvGrpSpPr>
        <xdr:cNvPr id="5" name="Group 4"/>
        <xdr:cNvGrpSpPr/>
      </xdr:nvGrpSpPr>
      <xdr:grpSpPr>
        <a:xfrm>
          <a:off x="0" y="158750"/>
          <a:ext cx="14303375" cy="707886"/>
          <a:chOff x="0" y="158750"/>
          <a:chExt cx="14303375" cy="707886"/>
        </a:xfrm>
      </xdr:grpSpPr>
      <xdr:sp macro="" textlink="">
        <xdr:nvSpPr>
          <xdr:cNvPr id="19" name="TextBox 18"/>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Start-up Financial Tool</a:t>
            </a:r>
          </a:p>
        </xdr:txBody>
      </xdr:sp>
      <xdr:grpSp>
        <xdr:nvGrpSpPr>
          <xdr:cNvPr id="20" name="Group 19"/>
          <xdr:cNvGrpSpPr/>
        </xdr:nvGrpSpPr>
        <xdr:grpSpPr>
          <a:xfrm>
            <a:off x="10302875" y="15875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5" name="Left-Right Arrow 2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6" name="Group 25"/>
              <xdr:cNvGrpSpPr/>
            </xdr:nvGrpSpPr>
            <xdr:grpSpPr>
              <a:xfrm>
                <a:off x="1231900" y="3987800"/>
                <a:ext cx="4330700" cy="719667"/>
                <a:chOff x="1231900" y="3987800"/>
                <a:chExt cx="4330700" cy="863600"/>
              </a:xfrm>
            </xdr:grpSpPr>
            <xdr:sp macro="" textlink="">
              <xdr:nvSpPr>
                <xdr:cNvPr id="27" name="Left-Right Arrow 2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4" name="Straight Connector 3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5" name="Straight Connector 3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8"/>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3" name="TextBox 22">
              <a:hlinkClick xmlns:r="http://schemas.openxmlformats.org/officeDocument/2006/relationships" r:id="rId9"/>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4" name="TextBox 23">
              <a:hlinkClick xmlns:r="http://schemas.openxmlformats.org/officeDocument/2006/relationships" r:id="rId10"/>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12700</xdr:rowOff>
        </xdr:from>
        <xdr:to>
          <xdr:col>3</xdr:col>
          <xdr:colOff>50800</xdr:colOff>
          <xdr:row>18</xdr:row>
          <xdr:rowOff>25400</xdr:rowOff>
        </xdr:to>
        <xdr:sp macro="" textlink="">
          <xdr:nvSpPr>
            <xdr:cNvPr id="1029" name="Drop Down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203200</xdr:rowOff>
        </xdr:from>
        <xdr:to>
          <xdr:col>3</xdr:col>
          <xdr:colOff>0</xdr:colOff>
          <xdr:row>19</xdr:row>
          <xdr:rowOff>203200</xdr:rowOff>
        </xdr:to>
        <xdr:sp macro="" textlink="">
          <xdr:nvSpPr>
            <xdr:cNvPr id="1047" name="Scroll Bar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xdr:row>
          <xdr:rowOff>203200</xdr:rowOff>
        </xdr:from>
        <xdr:to>
          <xdr:col>3</xdr:col>
          <xdr:colOff>0</xdr:colOff>
          <xdr:row>22</xdr:row>
          <xdr:rowOff>203200</xdr:rowOff>
        </xdr:to>
        <xdr:sp macro="" textlink="">
          <xdr:nvSpPr>
            <xdr:cNvPr id="1054" name="Scroll Bar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203200</xdr:rowOff>
        </xdr:from>
        <xdr:to>
          <xdr:col>3</xdr:col>
          <xdr:colOff>0</xdr:colOff>
          <xdr:row>25</xdr:row>
          <xdr:rowOff>203200</xdr:rowOff>
        </xdr:to>
        <xdr:sp macro="" textlink="">
          <xdr:nvSpPr>
            <xdr:cNvPr id="1055" name="Scroll Bar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203200</xdr:rowOff>
        </xdr:from>
        <xdr:to>
          <xdr:col>3</xdr:col>
          <xdr:colOff>0</xdr:colOff>
          <xdr:row>28</xdr:row>
          <xdr:rowOff>203200</xdr:rowOff>
        </xdr:to>
        <xdr:sp macro="" textlink="">
          <xdr:nvSpPr>
            <xdr:cNvPr id="1056" name="Scroll Bar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xdr:row>
          <xdr:rowOff>0</xdr:rowOff>
        </xdr:from>
        <xdr:to>
          <xdr:col>14</xdr:col>
          <xdr:colOff>12700</xdr:colOff>
          <xdr:row>6</xdr:row>
          <xdr:rowOff>12700</xdr:rowOff>
        </xdr:to>
        <xdr:sp macro="" textlink="">
          <xdr:nvSpPr>
            <xdr:cNvPr id="1069" name="Drop Down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xdr:row>
          <xdr:rowOff>0</xdr:rowOff>
        </xdr:from>
        <xdr:to>
          <xdr:col>14</xdr:col>
          <xdr:colOff>12700</xdr:colOff>
          <xdr:row>7</xdr:row>
          <xdr:rowOff>12700</xdr:rowOff>
        </xdr:to>
        <xdr:sp macro="" textlink="">
          <xdr:nvSpPr>
            <xdr:cNvPr id="1070" name="Drop Down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xdr:row>
          <xdr:rowOff>0</xdr:rowOff>
        </xdr:from>
        <xdr:to>
          <xdr:col>14</xdr:col>
          <xdr:colOff>12700</xdr:colOff>
          <xdr:row>8</xdr:row>
          <xdr:rowOff>12700</xdr:rowOff>
        </xdr:to>
        <xdr:sp macro="" textlink="">
          <xdr:nvSpPr>
            <xdr:cNvPr id="1071" name="Drop Down 47" hidden="1">
              <a:extLst>
                <a:ext uri="{63B3BB69-23CF-44E3-9099-C40C66FF867C}">
                  <a14:compatExt spid="_x0000_s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xdr:row>
          <xdr:rowOff>0</xdr:rowOff>
        </xdr:from>
        <xdr:to>
          <xdr:col>14</xdr:col>
          <xdr:colOff>12700</xdr:colOff>
          <xdr:row>9</xdr:row>
          <xdr:rowOff>12700</xdr:rowOff>
        </xdr:to>
        <xdr:sp macro="" textlink="">
          <xdr:nvSpPr>
            <xdr:cNvPr id="1072" name="Drop Down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9</xdr:row>
          <xdr:rowOff>0</xdr:rowOff>
        </xdr:from>
        <xdr:to>
          <xdr:col>14</xdr:col>
          <xdr:colOff>12700</xdr:colOff>
          <xdr:row>10</xdr:row>
          <xdr:rowOff>12700</xdr:rowOff>
        </xdr:to>
        <xdr:sp macro="" textlink="">
          <xdr:nvSpPr>
            <xdr:cNvPr id="1073" name="Drop Down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10</xdr:row>
          <xdr:rowOff>0</xdr:rowOff>
        </xdr:from>
        <xdr:to>
          <xdr:col>14</xdr:col>
          <xdr:colOff>12700</xdr:colOff>
          <xdr:row>11</xdr:row>
          <xdr:rowOff>12700</xdr:rowOff>
        </xdr:to>
        <xdr:sp macro="" textlink="">
          <xdr:nvSpPr>
            <xdr:cNvPr id="1074" name="Drop Down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11</xdr:row>
          <xdr:rowOff>0</xdr:rowOff>
        </xdr:from>
        <xdr:to>
          <xdr:col>14</xdr:col>
          <xdr:colOff>12700</xdr:colOff>
          <xdr:row>12</xdr:row>
          <xdr:rowOff>12700</xdr:rowOff>
        </xdr:to>
        <xdr:sp macro="" textlink="">
          <xdr:nvSpPr>
            <xdr:cNvPr id="1075" name="Drop Down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12</xdr:row>
          <xdr:rowOff>0</xdr:rowOff>
        </xdr:from>
        <xdr:to>
          <xdr:col>14</xdr:col>
          <xdr:colOff>12700</xdr:colOff>
          <xdr:row>13</xdr:row>
          <xdr:rowOff>12700</xdr:rowOff>
        </xdr:to>
        <xdr:sp macro="" textlink="">
          <xdr:nvSpPr>
            <xdr:cNvPr id="1076" name="Drop Down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13</xdr:row>
          <xdr:rowOff>0</xdr:rowOff>
        </xdr:from>
        <xdr:to>
          <xdr:col>14</xdr:col>
          <xdr:colOff>12700</xdr:colOff>
          <xdr:row>14</xdr:row>
          <xdr:rowOff>12700</xdr:rowOff>
        </xdr:to>
        <xdr:sp macro="" textlink="">
          <xdr:nvSpPr>
            <xdr:cNvPr id="1077" name="Drop Down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xdr:row>
          <xdr:rowOff>0</xdr:rowOff>
        </xdr:from>
        <xdr:to>
          <xdr:col>14</xdr:col>
          <xdr:colOff>12700</xdr:colOff>
          <xdr:row>15</xdr:row>
          <xdr:rowOff>12700</xdr:rowOff>
        </xdr:to>
        <xdr:sp macro="" textlink="">
          <xdr:nvSpPr>
            <xdr:cNvPr id="1078" name="Drop Down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17</xdr:row>
          <xdr:rowOff>0</xdr:rowOff>
        </xdr:from>
        <xdr:to>
          <xdr:col>14</xdr:col>
          <xdr:colOff>12700</xdr:colOff>
          <xdr:row>18</xdr:row>
          <xdr:rowOff>12700</xdr:rowOff>
        </xdr:to>
        <xdr:sp macro="" textlink="">
          <xdr:nvSpPr>
            <xdr:cNvPr id="1085" name="Drop Down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18</xdr:row>
          <xdr:rowOff>0</xdr:rowOff>
        </xdr:from>
        <xdr:to>
          <xdr:col>14</xdr:col>
          <xdr:colOff>12700</xdr:colOff>
          <xdr:row>19</xdr:row>
          <xdr:rowOff>12700</xdr:rowOff>
        </xdr:to>
        <xdr:sp macro="" textlink="">
          <xdr:nvSpPr>
            <xdr:cNvPr id="1086" name="Drop Down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19</xdr:row>
          <xdr:rowOff>0</xdr:rowOff>
        </xdr:from>
        <xdr:to>
          <xdr:col>14</xdr:col>
          <xdr:colOff>12700</xdr:colOff>
          <xdr:row>20</xdr:row>
          <xdr:rowOff>12700</xdr:rowOff>
        </xdr:to>
        <xdr:sp macro="" textlink="">
          <xdr:nvSpPr>
            <xdr:cNvPr id="1087" name="Drop Down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20</xdr:row>
          <xdr:rowOff>0</xdr:rowOff>
        </xdr:from>
        <xdr:to>
          <xdr:col>14</xdr:col>
          <xdr:colOff>12700</xdr:colOff>
          <xdr:row>21</xdr:row>
          <xdr:rowOff>12700</xdr:rowOff>
        </xdr:to>
        <xdr:sp macro="" textlink="">
          <xdr:nvSpPr>
            <xdr:cNvPr id="1088" name="Drop Down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xdr:twoCellAnchor>
    <xdr:from>
      <xdr:col>10</xdr:col>
      <xdr:colOff>653222</xdr:colOff>
      <xdr:row>0</xdr:row>
      <xdr:rowOff>777875</xdr:rowOff>
    </xdr:from>
    <xdr:to>
      <xdr:col>11</xdr:col>
      <xdr:colOff>2716892</xdr:colOff>
      <xdr:row>0</xdr:row>
      <xdr:rowOff>1206500</xdr:rowOff>
    </xdr:to>
    <xdr:sp macro="" textlink="">
      <xdr:nvSpPr>
        <xdr:cNvPr id="24" name="Bevel 23">
          <a:hlinkClick xmlns:r="http://schemas.openxmlformats.org/officeDocument/2006/relationships" r:id="rId1"/>
        </xdr:cNvPr>
        <xdr:cNvSpPr/>
      </xdr:nvSpPr>
      <xdr:spPr>
        <a:xfrm>
          <a:off x="10892597" y="777875"/>
          <a:ext cx="273042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0</xdr:col>
      <xdr:colOff>0</xdr:colOff>
      <xdr:row>0</xdr:row>
      <xdr:rowOff>158750</xdr:rowOff>
    </xdr:from>
    <xdr:to>
      <xdr:col>12</xdr:col>
      <xdr:colOff>603250</xdr:colOff>
      <xdr:row>0</xdr:row>
      <xdr:rowOff>866636</xdr:rowOff>
    </xdr:to>
    <xdr:grpSp>
      <xdr:nvGrpSpPr>
        <xdr:cNvPr id="51" name="Group 50"/>
        <xdr:cNvGrpSpPr/>
      </xdr:nvGrpSpPr>
      <xdr:grpSpPr>
        <a:xfrm>
          <a:off x="0" y="158750"/>
          <a:ext cx="14303375" cy="707886"/>
          <a:chOff x="0" y="158750"/>
          <a:chExt cx="14303375" cy="707886"/>
        </a:xfrm>
      </xdr:grpSpPr>
      <xdr:sp macro="" textlink="">
        <xdr:nvSpPr>
          <xdr:cNvPr id="52" name="TextBox 51"/>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Parameters</a:t>
            </a:r>
          </a:p>
        </xdr:txBody>
      </xdr:sp>
      <xdr:grpSp>
        <xdr:nvGrpSpPr>
          <xdr:cNvPr id="53" name="Group 52"/>
          <xdr:cNvGrpSpPr/>
        </xdr:nvGrpSpPr>
        <xdr:grpSpPr>
          <a:xfrm>
            <a:off x="10302875" y="158750"/>
            <a:ext cx="4000500" cy="603250"/>
            <a:chOff x="1231900" y="2944298"/>
            <a:chExt cx="4330700" cy="719667"/>
          </a:xfrm>
        </xdr:grpSpPr>
        <xdr:grpSp>
          <xdr:nvGrpSpPr>
            <xdr:cNvPr id="54" name="Group 53"/>
            <xdr:cNvGrpSpPr/>
          </xdr:nvGrpSpPr>
          <xdr:grpSpPr>
            <a:xfrm>
              <a:off x="1231900" y="2944298"/>
              <a:ext cx="4330700" cy="719667"/>
              <a:chOff x="1231900" y="3987800"/>
              <a:chExt cx="4330700" cy="719667"/>
            </a:xfrm>
          </xdr:grpSpPr>
          <xdr:sp macro="" textlink="">
            <xdr:nvSpPr>
              <xdr:cNvPr id="58" name="Left-Right Arrow 5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9" name="Group 58"/>
              <xdr:cNvGrpSpPr/>
            </xdr:nvGrpSpPr>
            <xdr:grpSpPr>
              <a:xfrm>
                <a:off x="1231900" y="3987800"/>
                <a:ext cx="4330700" cy="719667"/>
                <a:chOff x="1231900" y="3987800"/>
                <a:chExt cx="4330700" cy="863600"/>
              </a:xfrm>
            </xdr:grpSpPr>
            <xdr:sp macro="" textlink="">
              <xdr:nvSpPr>
                <xdr:cNvPr id="60" name="Left-Right Arrow 5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61" name="Straight Connector 6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62" name="Straight Connector 6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5" name="TextBox 54">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56" name="TextBox 55">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57" name="TextBox 56">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9</xdr:col>
      <xdr:colOff>349249</xdr:colOff>
      <xdr:row>22</xdr:row>
      <xdr:rowOff>79375</xdr:rowOff>
    </xdr:from>
    <xdr:to>
      <xdr:col>14</xdr:col>
      <xdr:colOff>63499</xdr:colOff>
      <xdr:row>50</xdr:row>
      <xdr:rowOff>31750</xdr:rowOff>
    </xdr:to>
    <xdr:sp macro="" textlink="">
      <xdr:nvSpPr>
        <xdr:cNvPr id="35" name="TextBox 34"/>
        <xdr:cNvSpPr txBox="1"/>
      </xdr:nvSpPr>
      <xdr:spPr>
        <a:xfrm>
          <a:off x="9556749" y="6556375"/>
          <a:ext cx="6524625" cy="6175375"/>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1200"/>
            </a:spcAft>
            <a:buClrTx/>
            <a:buSzTx/>
            <a:buFontTx/>
            <a:buNone/>
            <a:tabLst/>
            <a:defRPr/>
          </a:pPr>
          <a:r>
            <a:rPr lang="en-US" sz="2000" b="1" i="1" u="sng">
              <a:solidFill>
                <a:sysClr val="windowText" lastClr="000000"/>
              </a:solidFill>
              <a:latin typeface="Arial"/>
              <a:cs typeface="Arial"/>
            </a:rPr>
            <a:t>Instructions</a:t>
          </a:r>
          <a:endParaRPr lang="en-US" sz="1800" b="0">
            <a:solidFill>
              <a:sysClr val="windowText" lastClr="000000"/>
            </a:solidFill>
            <a:latin typeface="Arial"/>
            <a:cs typeface="Arial"/>
          </a:endParaRPr>
        </a:p>
        <a:p>
          <a:pPr marL="0" marR="0" indent="0" defTabSz="914400" eaLnBrk="1" fontAlgn="auto" latinLnBrk="0" hangingPunct="1">
            <a:lnSpc>
              <a:spcPct val="100000"/>
            </a:lnSpc>
            <a:spcBef>
              <a:spcPts val="0"/>
            </a:spcBef>
            <a:spcAft>
              <a:spcPts val="600"/>
            </a:spcAft>
            <a:buClrTx/>
            <a:buSzTx/>
            <a:buFontTx/>
            <a:buNone/>
            <a:tabLst/>
            <a:defRPr/>
          </a:pPr>
          <a:r>
            <a:rPr lang="en-US" sz="1800" b="0">
              <a:solidFill>
                <a:sysClr val="windowText" lastClr="000000"/>
              </a:solidFill>
              <a:latin typeface="Arial"/>
              <a:cs typeface="Arial"/>
            </a:rPr>
            <a:t>In the white cells, enter:</a:t>
          </a:r>
          <a:endParaRPr lang="en-US" sz="1800" b="0" baseline="0">
            <a:solidFill>
              <a:sysClr val="windowText" lastClr="000000"/>
            </a:solidFill>
            <a:latin typeface="Arial"/>
            <a:cs typeface="Arial"/>
          </a:endParaRP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Company name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Product name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Unit price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Unit cost elements</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First year</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First month (use slider)</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Tax rate (use slider)</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Interest Rate to drive Interest expense on the P&amp;L</a:t>
          </a:r>
        </a:p>
        <a:p>
          <a:pPr marL="285750" marR="0" indent="-285750" defTabSz="914400" eaLnBrk="1" fontAlgn="auto" latinLnBrk="0" hangingPunct="1">
            <a:lnSpc>
              <a:spcPct val="100000"/>
            </a:lnSpc>
            <a:spcBef>
              <a:spcPts val="0"/>
            </a:spcBef>
            <a:spcAft>
              <a:spcPts val="1200"/>
            </a:spcAft>
            <a:buClrTx/>
            <a:buSzTx/>
            <a:buFont typeface="Courier New"/>
            <a:buChar char="o"/>
            <a:tabLst/>
            <a:defRPr/>
          </a:pPr>
          <a:r>
            <a:rPr lang="en-US" sz="1800" b="0" baseline="0">
              <a:solidFill>
                <a:sysClr val="windowText" lastClr="000000"/>
              </a:solidFill>
              <a:latin typeface="Arial"/>
              <a:cs typeface="Arial"/>
            </a:rPr>
            <a:t>Depreciation Years to drive depreciation on the P&amp;L</a:t>
          </a:r>
        </a:p>
        <a:p>
          <a:pPr>
            <a:spcAft>
              <a:spcPts val="1200"/>
            </a:spcAft>
          </a:pPr>
          <a:r>
            <a:rPr lang="en-US" sz="1800" b="0" baseline="0">
              <a:solidFill>
                <a:sysClr val="windowText" lastClr="000000"/>
              </a:solidFill>
              <a:latin typeface="Arial"/>
              <a:cs typeface="Arial"/>
            </a:rPr>
            <a:t>Interest and depreciation will be spread automatically.</a:t>
          </a:r>
        </a:p>
        <a:p>
          <a:pPr>
            <a:spcAft>
              <a:spcPts val="600"/>
            </a:spcAft>
          </a:pPr>
          <a:r>
            <a:rPr lang="en-US" sz="1800" b="0" baseline="0">
              <a:solidFill>
                <a:sysClr val="windowText" lastClr="000000"/>
              </a:solidFill>
              <a:latin typeface="Arial"/>
              <a:cs typeface="Arial"/>
            </a:rPr>
            <a:t>Use sliders to enter ratios to drive the Balance Sheet </a:t>
          </a:r>
        </a:p>
        <a:p>
          <a:pPr marL="285750" indent="-285750">
            <a:buFont typeface="Courier New"/>
            <a:buChar char="o"/>
          </a:pPr>
          <a:r>
            <a:rPr lang="en-US" sz="1800" b="0" baseline="0">
              <a:solidFill>
                <a:sysClr val="windowText" lastClr="000000"/>
              </a:solidFill>
              <a:latin typeface="Arial"/>
              <a:cs typeface="Arial"/>
            </a:rPr>
            <a:t>A/R (Accounts Receivable)</a:t>
          </a:r>
        </a:p>
        <a:p>
          <a:pPr marL="285750" indent="-285750">
            <a:buFont typeface="Courier New"/>
            <a:buChar char="o"/>
          </a:pPr>
          <a:r>
            <a:rPr lang="en-US" sz="1800" b="0" baseline="0">
              <a:solidFill>
                <a:sysClr val="windowText" lastClr="000000"/>
              </a:solidFill>
              <a:latin typeface="Arial"/>
              <a:cs typeface="Arial"/>
            </a:rPr>
            <a:t>Inventory</a:t>
          </a:r>
        </a:p>
        <a:p>
          <a:pPr marL="285750" indent="-285750">
            <a:spcAft>
              <a:spcPts val="1200"/>
            </a:spcAft>
            <a:buFont typeface="Courier New"/>
            <a:buChar char="o"/>
          </a:pPr>
          <a:r>
            <a:rPr lang="en-US" sz="1800" b="0" baseline="0">
              <a:solidFill>
                <a:sysClr val="windowText" lastClr="000000"/>
              </a:solidFill>
              <a:latin typeface="Arial"/>
              <a:cs typeface="Arial"/>
            </a:rPr>
            <a:t>A/P (Accounts Payable)</a:t>
          </a:r>
        </a:p>
        <a:p>
          <a:r>
            <a:rPr lang="en-US" sz="1800" b="0" baseline="0">
              <a:solidFill>
                <a:sysClr val="windowText" lastClr="000000"/>
              </a:solidFill>
              <a:latin typeface="Arial"/>
              <a:cs typeface="Arial"/>
            </a:rPr>
            <a:t>Enter asset and loan names, amounts, and dates (use slider). Assets and Notes will be spread automatically.</a:t>
          </a:r>
          <a:endParaRPr lang="en-US" sz="1800" b="0">
            <a:solidFill>
              <a:sysClr val="windowText" lastClr="000000"/>
            </a:solidFill>
            <a:latin typeface="Arial"/>
            <a:cs typeface="Aria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435429</xdr:colOff>
      <xdr:row>17</xdr:row>
      <xdr:rowOff>149680</xdr:rowOff>
    </xdr:from>
    <xdr:to>
      <xdr:col>12</xdr:col>
      <xdr:colOff>13607</xdr:colOff>
      <xdr:row>22</xdr:row>
      <xdr:rowOff>122465</xdr:rowOff>
    </xdr:to>
    <xdr:sp macro="" textlink="">
      <xdr:nvSpPr>
        <xdr:cNvPr id="2" name="TextBox 1"/>
        <xdr:cNvSpPr txBox="1"/>
      </xdr:nvSpPr>
      <xdr:spPr>
        <a:xfrm>
          <a:off x="6300108" y="4122966"/>
          <a:ext cx="3483428" cy="1197428"/>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Enter the unit sales by month for up to 5 years. Everything else will be calculated using the price</a:t>
          </a:r>
          <a:r>
            <a:rPr lang="en-US" sz="1600" b="1" baseline="0">
              <a:solidFill>
                <a:sysClr val="windowText" lastClr="000000"/>
              </a:solidFill>
            </a:rPr>
            <a:t> and cost information entered on the Parameters (Para) page.</a:t>
          </a:r>
          <a:endParaRPr lang="en-US" sz="1600" b="1">
            <a:solidFill>
              <a:sysClr val="windowText" lastClr="000000"/>
            </a:solidFill>
          </a:endParaRPr>
        </a:p>
      </xdr:txBody>
    </xdr:sp>
    <xdr:clientData/>
  </xdr:twoCellAnchor>
  <xdr:twoCellAnchor>
    <xdr:from>
      <xdr:col>11</xdr:col>
      <xdr:colOff>555624</xdr:colOff>
      <xdr:row>0</xdr:row>
      <xdr:rowOff>777875</xdr:rowOff>
    </xdr:from>
    <xdr:to>
      <xdr:col>15</xdr:col>
      <xdr:colOff>539749</xdr:colOff>
      <xdr:row>0</xdr:row>
      <xdr:rowOff>1206500</xdr:rowOff>
    </xdr:to>
    <xdr:sp macro="" textlink="">
      <xdr:nvSpPr>
        <xdr:cNvPr id="5" name="Bevel 4">
          <a:hlinkClick xmlns:r="http://schemas.openxmlformats.org/officeDocument/2006/relationships" r:id="rId1"/>
        </xdr:cNvPr>
        <xdr:cNvSpPr/>
      </xdr:nvSpPr>
      <xdr:spPr>
        <a:xfrm>
          <a:off x="10906124"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0</xdr:col>
      <xdr:colOff>0</xdr:colOff>
      <xdr:row>0</xdr:row>
      <xdr:rowOff>158750</xdr:rowOff>
    </xdr:from>
    <xdr:to>
      <xdr:col>16</xdr:col>
      <xdr:colOff>555625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Volumes</a:t>
            </a: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13606</xdr:colOff>
      <xdr:row>34</xdr:row>
      <xdr:rowOff>27215</xdr:rowOff>
    </xdr:from>
    <xdr:to>
      <xdr:col>5</xdr:col>
      <xdr:colOff>682625</xdr:colOff>
      <xdr:row>37</xdr:row>
      <xdr:rowOff>31750</xdr:rowOff>
    </xdr:to>
    <xdr:sp macro="" textlink="">
      <xdr:nvSpPr>
        <xdr:cNvPr id="2" name="TextBox 1"/>
        <xdr:cNvSpPr txBox="1"/>
      </xdr:nvSpPr>
      <xdr:spPr>
        <a:xfrm>
          <a:off x="1886856" y="7805965"/>
          <a:ext cx="4542519" cy="671285"/>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Enter names and amounts for any lines that drive costs. These will be applied directly to the P&amp;L.</a:t>
          </a:r>
        </a:p>
      </xdr:txBody>
    </xdr:sp>
    <xdr:clientData/>
  </xdr:twoCellAnchor>
  <xdr:twoCellAnchor>
    <xdr:from>
      <xdr:col>11</xdr:col>
      <xdr:colOff>555624</xdr:colOff>
      <xdr:row>0</xdr:row>
      <xdr:rowOff>777875</xdr:rowOff>
    </xdr:from>
    <xdr:to>
      <xdr:col>15</xdr:col>
      <xdr:colOff>539749</xdr:colOff>
      <xdr:row>0</xdr:row>
      <xdr:rowOff>1206500</xdr:rowOff>
    </xdr:to>
    <xdr:sp macro="" textlink="">
      <xdr:nvSpPr>
        <xdr:cNvPr id="5" name="Bevel 4">
          <a:hlinkClick xmlns:r="http://schemas.openxmlformats.org/officeDocument/2006/relationships" r:id="rId1"/>
        </xdr:cNvPr>
        <xdr:cNvSpPr/>
      </xdr:nvSpPr>
      <xdr:spPr>
        <a:xfrm>
          <a:off x="10906124"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0</xdr:col>
      <xdr:colOff>0</xdr:colOff>
      <xdr:row>0</xdr:row>
      <xdr:rowOff>158750</xdr:rowOff>
    </xdr:from>
    <xdr:to>
      <xdr:col>16</xdr:col>
      <xdr:colOff>555625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Corporate Overhead</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95250</xdr:colOff>
      <xdr:row>16</xdr:row>
      <xdr:rowOff>174626</xdr:rowOff>
    </xdr:from>
    <xdr:to>
      <xdr:col>23</xdr:col>
      <xdr:colOff>127000</xdr:colOff>
      <xdr:row>35</xdr:row>
      <xdr:rowOff>95251</xdr:rowOff>
    </xdr:to>
    <xdr:sp macro="" textlink="">
      <xdr:nvSpPr>
        <xdr:cNvPr id="3" name="Curved Left Arrow 2"/>
        <xdr:cNvSpPr/>
      </xdr:nvSpPr>
      <xdr:spPr>
        <a:xfrm>
          <a:off x="19415125" y="3127376"/>
          <a:ext cx="873125" cy="40640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7</xdr:col>
      <xdr:colOff>127000</xdr:colOff>
      <xdr:row>48</xdr:row>
      <xdr:rowOff>47625</xdr:rowOff>
    </xdr:from>
    <xdr:to>
      <xdr:col>8</xdr:col>
      <xdr:colOff>158750</xdr:colOff>
      <xdr:row>66</xdr:row>
      <xdr:rowOff>158750</xdr:rowOff>
    </xdr:to>
    <xdr:sp macro="" textlink="">
      <xdr:nvSpPr>
        <xdr:cNvPr id="4" name="Curved Left Arrow 3"/>
        <xdr:cNvSpPr/>
      </xdr:nvSpPr>
      <xdr:spPr>
        <a:xfrm>
          <a:off x="6826250" y="10048875"/>
          <a:ext cx="873125" cy="40640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460374</xdr:colOff>
      <xdr:row>0</xdr:row>
      <xdr:rowOff>777875</xdr:rowOff>
    </xdr:from>
    <xdr:to>
      <xdr:col>13</xdr:col>
      <xdr:colOff>317499</xdr:colOff>
      <xdr:row>0</xdr:row>
      <xdr:rowOff>1206500</xdr:rowOff>
    </xdr:to>
    <xdr:sp macro="" textlink="">
      <xdr:nvSpPr>
        <xdr:cNvPr id="7" name="Bevel 6">
          <a:hlinkClick xmlns:r="http://schemas.openxmlformats.org/officeDocument/2006/relationships" r:id="rId1"/>
        </xdr:cNvPr>
        <xdr:cNvSpPr/>
      </xdr:nvSpPr>
      <xdr:spPr>
        <a:xfrm>
          <a:off x="10906124"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7</xdr:col>
      <xdr:colOff>913493</xdr:colOff>
      <xdr:row>36</xdr:row>
      <xdr:rowOff>174623</xdr:rowOff>
    </xdr:from>
    <xdr:to>
      <xdr:col>20</xdr:col>
      <xdr:colOff>31751</xdr:colOff>
      <xdr:row>56</xdr:row>
      <xdr:rowOff>0</xdr:rowOff>
    </xdr:to>
    <xdr:sp macro="" textlink="">
      <xdr:nvSpPr>
        <xdr:cNvPr id="2" name="TextBox 1"/>
        <xdr:cNvSpPr txBox="1"/>
      </xdr:nvSpPr>
      <xdr:spPr>
        <a:xfrm>
          <a:off x="8501743" y="7508873"/>
          <a:ext cx="11500758" cy="3889377"/>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solidFill>
                <a:sysClr val="windowText" lastClr="000000"/>
              </a:solidFill>
            </a:rPr>
            <a:t>ENTER quarterly amounts for each UNSHADED ITEM. Shaded lines are calculated</a:t>
          </a:r>
          <a:r>
            <a:rPr lang="en-US" sz="1600" b="1" baseline="0">
              <a:solidFill>
                <a:sysClr val="windowText" lastClr="000000"/>
              </a:solidFill>
            </a:rPr>
            <a:t> or drawn from other sheets. </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Prior year information is entered only if there is a prior year. For a new set of financials, enter only any new Notes and Paid in Capital in the first Q1 column.</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The Other Current line is for any fluctuating current asset or liability balances. Remember that values stay on the Balance Sheet until specific actions remove them (such as sale of an asset or incurrance of a new liability).</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Cash is derived directly from the cash flow page.</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lang="en-US" sz="1600" b="1" baseline="0">
              <a:solidFill>
                <a:sysClr val="windowText" lastClr="000000"/>
              </a:solidFill>
            </a:rPr>
            <a:t>Accounts Receivable is calculated using ratio to revenue </a:t>
          </a:r>
          <a:r>
            <a:rPr kumimoji="0" lang="en-US" sz="1600" b="1" i="0" u="none" strike="noStrike" kern="0" cap="none" spc="0" normalizeH="0" baseline="0" noProof="0">
              <a:ln>
                <a:noFill/>
              </a:ln>
              <a:solidFill>
                <a:sysClr val="windowText" lastClr="000000"/>
              </a:solidFill>
              <a:effectLst/>
              <a:uLnTx/>
              <a:uFillTx/>
              <a:latin typeface="+mn-lt"/>
              <a:ea typeface="+mn-ea"/>
              <a:cs typeface="+mn-cs"/>
            </a:rPr>
            <a:t>,  Inventory Accounts  using a ratio to COGS, and Payable using a ratio to material cost, per settings on the Parameters page. </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Fixed Assets, above, is derived from the asset list on the Para page, and drives depreciation on the P&amp;L, using the straight line method and the period on the Para page, and then the depreciation is accumulated on the balance sheet based on the  P&amp;L entries.</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Notes Payable, above, drives Interest on the P&amp;L,  using the interest rate from the Para page and assuming interest-only loans. This model assumes up to 4 notes, entered on the Para page.  </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Paid in Capital is assumed to be paid in during the first period and does not change (except by unprotecting the sheet).</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Retained earnings are accumulated directly from the after tax profit on the P&amp;L.</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endParaRPr lang="en-US" sz="1600" b="1">
            <a:solidFill>
              <a:sysClr val="windowText" lastClr="000000"/>
            </a:solidFill>
          </a:endParaRPr>
        </a:p>
      </xdr:txBody>
    </xdr:sp>
    <xdr:clientData/>
  </xdr:twoCellAnchor>
  <xdr:twoCellAnchor>
    <xdr:from>
      <xdr:col>8</xdr:col>
      <xdr:colOff>650876</xdr:colOff>
      <xdr:row>57</xdr:row>
      <xdr:rowOff>127001</xdr:rowOff>
    </xdr:from>
    <xdr:to>
      <xdr:col>10</xdr:col>
      <xdr:colOff>238126</xdr:colOff>
      <xdr:row>62</xdr:row>
      <xdr:rowOff>1</xdr:rowOff>
    </xdr:to>
    <xdr:sp macro="" textlink="">
      <xdr:nvSpPr>
        <xdr:cNvPr id="5" name="Rectangular Callout 4"/>
        <xdr:cNvSpPr/>
      </xdr:nvSpPr>
      <xdr:spPr>
        <a:xfrm>
          <a:off x="9191626" y="12255501"/>
          <a:ext cx="1492250" cy="857250"/>
        </a:xfrm>
        <a:prstGeom prst="wedgeRectCallout">
          <a:avLst>
            <a:gd name="adj1" fmla="val -97719"/>
            <a:gd name="adj2" fmla="val 59223"/>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R="0" algn="l" defTabSz="914400" eaLnBrk="1" fontAlgn="auto" latinLnBrk="0" hangingPunct="1">
            <a:lnSpc>
              <a:spcPct val="100000"/>
            </a:lnSpc>
            <a:spcBef>
              <a:spcPts val="0"/>
            </a:spcBef>
            <a:spcAft>
              <a:spcPts val="0"/>
            </a:spcAft>
            <a:buClrTx/>
            <a:buSzTx/>
            <a:tabLst/>
            <a:defRPr/>
          </a:pPr>
          <a:r>
            <a:rPr lang="en-US" sz="1600" b="1">
              <a:solidFill>
                <a:sysClr val="windowText" lastClr="000000"/>
              </a:solidFill>
              <a:latin typeface="+mn-lt"/>
              <a:ea typeface="+mn-ea"/>
              <a:cs typeface="+mn-cs"/>
            </a:rPr>
            <a:t>Total Assets always equals</a:t>
          </a:r>
          <a:r>
            <a:rPr lang="en-US" sz="1600" b="1" baseline="0">
              <a:solidFill>
                <a:sysClr val="windowText" lastClr="000000"/>
              </a:solidFill>
              <a:latin typeface="+mn-lt"/>
              <a:ea typeface="+mn-ea"/>
              <a:cs typeface="+mn-cs"/>
            </a:rPr>
            <a:t> Total Liabilities</a:t>
          </a:r>
          <a:endParaRPr lang="en-US" sz="1600" b="1">
            <a:solidFill>
              <a:sysClr val="windowText" lastClr="000000"/>
            </a:solidFill>
            <a:latin typeface="+mn-lt"/>
            <a:ea typeface="+mn-ea"/>
            <a:cs typeface="+mn-cs"/>
          </a:endParaRP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9" name="Group 8"/>
        <xdr:cNvGrpSpPr/>
      </xdr:nvGrpSpPr>
      <xdr:grpSpPr>
        <a:xfrm>
          <a:off x="0" y="158750"/>
          <a:ext cx="14303375" cy="707886"/>
          <a:chOff x="0" y="158750"/>
          <a:chExt cx="14303375" cy="707886"/>
        </a:xfrm>
      </xdr:grpSpPr>
      <xdr:sp macro="" textlink="">
        <xdr:nvSpPr>
          <xdr:cNvPr id="10" name="TextBox 9"/>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Balance Sheet</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1" name="Group 10"/>
          <xdr:cNvGrpSpPr/>
        </xdr:nvGrpSpPr>
        <xdr:grpSpPr>
          <a:xfrm>
            <a:off x="10302875" y="158750"/>
            <a:ext cx="4000500" cy="603250"/>
            <a:chOff x="1231900" y="2944298"/>
            <a:chExt cx="4330700" cy="719667"/>
          </a:xfrm>
        </xdr:grpSpPr>
        <xdr:grpSp>
          <xdr:nvGrpSpPr>
            <xdr:cNvPr id="12" name="Group 11"/>
            <xdr:cNvGrpSpPr/>
          </xdr:nvGrpSpPr>
          <xdr:grpSpPr>
            <a:xfrm>
              <a:off x="1231900" y="2944298"/>
              <a:ext cx="4330700" cy="719667"/>
              <a:chOff x="1231900" y="3987800"/>
              <a:chExt cx="4330700" cy="719667"/>
            </a:xfrm>
          </xdr:grpSpPr>
          <xdr:sp macro="" textlink="">
            <xdr:nvSpPr>
              <xdr:cNvPr id="16" name="Left-Right Arrow 1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7" name="Group 16"/>
              <xdr:cNvGrpSpPr/>
            </xdr:nvGrpSpPr>
            <xdr:grpSpPr>
              <a:xfrm>
                <a:off x="1231900" y="3987800"/>
                <a:ext cx="4330700" cy="719667"/>
                <a:chOff x="1231900" y="3987800"/>
                <a:chExt cx="4330700" cy="863600"/>
              </a:xfrm>
            </xdr:grpSpPr>
            <xdr:sp macro="" textlink="">
              <xdr:nvSpPr>
                <xdr:cNvPr id="18" name="Left-Right Arrow 1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9" name="Straight Connector 18"/>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0" name="Straight Connector 1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3" name="TextBox 12">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4" name="TextBox 13">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5" name="TextBox 14">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190498</xdr:colOff>
      <xdr:row>41</xdr:row>
      <xdr:rowOff>122464</xdr:rowOff>
    </xdr:from>
    <xdr:to>
      <xdr:col>17</xdr:col>
      <xdr:colOff>31750</xdr:colOff>
      <xdr:row>44</xdr:row>
      <xdr:rowOff>174625</xdr:rowOff>
    </xdr:to>
    <xdr:sp macro="" textlink="">
      <xdr:nvSpPr>
        <xdr:cNvPr id="2" name="TextBox 1"/>
        <xdr:cNvSpPr txBox="1"/>
      </xdr:nvSpPr>
      <xdr:spPr>
        <a:xfrm>
          <a:off x="6048373" y="9123589"/>
          <a:ext cx="9096377" cy="718911"/>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DO NOT ENTER INFORMATION</a:t>
          </a:r>
          <a:r>
            <a:rPr lang="en-US" sz="1600" b="1" baseline="0">
              <a:solidFill>
                <a:sysClr val="windowText" lastClr="000000"/>
              </a:solidFill>
            </a:rPr>
            <a:t> ON THIS  SHEET. It </a:t>
          </a:r>
          <a:r>
            <a:rPr lang="en-US" sz="1600" b="1">
              <a:solidFill>
                <a:sysClr val="windowText" lastClr="000000"/>
              </a:solidFill>
            </a:rPr>
            <a:t>is calculated from the Para, COGS, and OH worksheets, plus depreciation based on Fixed</a:t>
          </a:r>
          <a:r>
            <a:rPr lang="en-US" sz="1600" b="1" baseline="0">
              <a:solidFill>
                <a:sysClr val="windowText" lastClr="000000"/>
              </a:solidFill>
            </a:rPr>
            <a:t> Assets  and Interest based on Notes Payable of the Balance Sheet.</a:t>
          </a:r>
          <a:endParaRPr lang="en-US" sz="1600" b="1">
            <a:solidFill>
              <a:sysClr val="windowText" lastClr="000000"/>
            </a:solidFill>
          </a:endParaRPr>
        </a:p>
      </xdr:txBody>
    </xdr:sp>
    <xdr:clientData/>
  </xdr:twoCellAnchor>
  <xdr:twoCellAnchor>
    <xdr:from>
      <xdr:col>10</xdr:col>
      <xdr:colOff>444499</xdr:colOff>
      <xdr:row>0</xdr:row>
      <xdr:rowOff>777875</xdr:rowOff>
    </xdr:from>
    <xdr:to>
      <xdr:col>13</xdr:col>
      <xdr:colOff>301624</xdr:colOff>
      <xdr:row>0</xdr:row>
      <xdr:rowOff>1206500</xdr:rowOff>
    </xdr:to>
    <xdr:sp macro="" textlink="">
      <xdr:nvSpPr>
        <xdr:cNvPr id="3" name="Bevel 2">
          <a:hlinkClick xmlns:r="http://schemas.openxmlformats.org/officeDocument/2006/relationships" r:id="rId1"/>
        </xdr:cNvPr>
        <xdr:cNvSpPr/>
      </xdr:nvSpPr>
      <xdr:spPr>
        <a:xfrm>
          <a:off x="10890249"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Profit &amp; Loss (P&amp;L)</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6" name="Group 15"/>
              <xdr:cNvGrpSpPr/>
            </xdr:nvGrpSpPr>
            <xdr:grpSpPr>
              <a:xfrm>
                <a:off x="1231900" y="3987800"/>
                <a:ext cx="4330700" cy="719667"/>
                <a:chOff x="1231900" y="3987800"/>
                <a:chExt cx="4330700" cy="863600"/>
              </a:xfrm>
            </xdr:grpSpPr>
            <xdr:sp macro="" textlink="">
              <xdr:nvSpPr>
                <xdr:cNvPr id="17" name="Left-Right Arrow 1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8" name="Straight Connector 1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31750</xdr:colOff>
      <xdr:row>25</xdr:row>
      <xdr:rowOff>27214</xdr:rowOff>
    </xdr:from>
    <xdr:to>
      <xdr:col>11</xdr:col>
      <xdr:colOff>428625</xdr:colOff>
      <xdr:row>29</xdr:row>
      <xdr:rowOff>127001</xdr:rowOff>
    </xdr:to>
    <xdr:sp macro="" textlink="">
      <xdr:nvSpPr>
        <xdr:cNvPr id="2" name="TextBox 1"/>
        <xdr:cNvSpPr txBox="1"/>
      </xdr:nvSpPr>
      <xdr:spPr>
        <a:xfrm>
          <a:off x="7620000" y="5742214"/>
          <a:ext cx="4206875" cy="925287"/>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Enter planned dividends (if any). MAKE</a:t>
          </a:r>
          <a:r>
            <a:rPr lang="en-US" sz="1600" b="1" baseline="0">
              <a:solidFill>
                <a:sysClr val="windowText" lastClr="000000"/>
              </a:solidFill>
            </a:rPr>
            <a:t> NO OTHER  ENTRIES ON THIS SHEET. It </a:t>
          </a:r>
          <a:r>
            <a:rPr lang="en-US" sz="1600" b="1">
              <a:solidFill>
                <a:sysClr val="windowText" lastClr="000000"/>
              </a:solidFill>
            </a:rPr>
            <a:t>is calculated from the P&amp;L and Balance Sheet worksheets.</a:t>
          </a:r>
        </a:p>
      </xdr:txBody>
    </xdr:sp>
    <xdr:clientData/>
  </xdr:twoCellAnchor>
  <xdr:twoCellAnchor>
    <xdr:from>
      <xdr:col>10</xdr:col>
      <xdr:colOff>444499</xdr:colOff>
      <xdr:row>0</xdr:row>
      <xdr:rowOff>777875</xdr:rowOff>
    </xdr:from>
    <xdr:to>
      <xdr:col>13</xdr:col>
      <xdr:colOff>301624</xdr:colOff>
      <xdr:row>0</xdr:row>
      <xdr:rowOff>1206500</xdr:rowOff>
    </xdr:to>
    <xdr:sp macro="" textlink="">
      <xdr:nvSpPr>
        <xdr:cNvPr id="5" name="Bevel 4">
          <a:hlinkClick xmlns:r="http://schemas.openxmlformats.org/officeDocument/2006/relationships" r:id="rId1"/>
        </xdr:cNvPr>
        <xdr:cNvSpPr/>
      </xdr:nvSpPr>
      <xdr:spPr>
        <a:xfrm>
          <a:off x="10890249"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Cash Flow</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1097643</xdr:colOff>
      <xdr:row>2</xdr:row>
      <xdr:rowOff>251733</xdr:rowOff>
    </xdr:from>
    <xdr:to>
      <xdr:col>13</xdr:col>
      <xdr:colOff>614589</xdr:colOff>
      <xdr:row>6</xdr:row>
      <xdr:rowOff>186872</xdr:rowOff>
    </xdr:to>
    <xdr:sp macro="" textlink="">
      <xdr:nvSpPr>
        <xdr:cNvPr id="3" name="TextBox 2"/>
        <xdr:cNvSpPr txBox="1"/>
      </xdr:nvSpPr>
      <xdr:spPr>
        <a:xfrm>
          <a:off x="9241518" y="1855108"/>
          <a:ext cx="4708071" cy="871764"/>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solidFill>
                <a:sysClr val="windowText" lastClr="000000"/>
              </a:solidFill>
            </a:rPr>
            <a:t>This page is formatted to print</a:t>
          </a:r>
          <a:r>
            <a:rPr lang="en-US" sz="1600" b="1" baseline="0">
              <a:solidFill>
                <a:sysClr val="windowText" lastClr="000000"/>
              </a:solidFill>
            </a:rPr>
            <a:t> on three sheets, for the P&amp;L, the Balance Sheet, and the Cash Flow Statement. This box will not print.</a:t>
          </a:r>
          <a:endParaRPr lang="en-US" sz="1600" b="1">
            <a:solidFill>
              <a:sysClr val="windowText" lastClr="000000"/>
            </a:solidFill>
          </a:endParaRPr>
        </a:p>
      </xdr:txBody>
    </xdr:sp>
    <xdr:clientData fPrintsWithSheet="0"/>
  </xdr:twoCellAnchor>
  <xdr:twoCellAnchor>
    <xdr:from>
      <xdr:col>9</xdr:col>
      <xdr:colOff>222249</xdr:colOff>
      <xdr:row>0</xdr:row>
      <xdr:rowOff>777875</xdr:rowOff>
    </xdr:from>
    <xdr:to>
      <xdr:col>13</xdr:col>
      <xdr:colOff>269874</xdr:colOff>
      <xdr:row>0</xdr:row>
      <xdr:rowOff>1206500</xdr:rowOff>
    </xdr:to>
    <xdr:sp macro="" textlink="">
      <xdr:nvSpPr>
        <xdr:cNvPr id="5" name="Bevel 4">
          <a:hlinkClick xmlns:r="http://schemas.openxmlformats.org/officeDocument/2006/relationships" r:id="rId1"/>
        </xdr:cNvPr>
        <xdr:cNvSpPr/>
      </xdr:nvSpPr>
      <xdr:spPr>
        <a:xfrm>
          <a:off x="10890249" y="777875"/>
          <a:ext cx="2714625"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fPrintsWithSheet="0"/>
  </xdr:twoCellAnchor>
  <xdr:twoCellAnchor>
    <xdr:from>
      <xdr:col>0</xdr:col>
      <xdr:colOff>0</xdr:colOff>
      <xdr:row>0</xdr:row>
      <xdr:rowOff>158750</xdr:rowOff>
    </xdr:from>
    <xdr:to>
      <xdr:col>14</xdr:col>
      <xdr:colOff>301625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Print Version</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xdr:colOff>
      <xdr:row>0</xdr:row>
      <xdr:rowOff>1251851</xdr:rowOff>
    </xdr:from>
    <xdr:to>
      <xdr:col>15</xdr:col>
      <xdr:colOff>1</xdr:colOff>
      <xdr:row>44</xdr:row>
      <xdr:rowOff>0</xdr:rowOff>
    </xdr:to>
    <xdr:sp macro="" textlink="">
      <xdr:nvSpPr>
        <xdr:cNvPr id="3" name="TextBox 2"/>
        <xdr:cNvSpPr txBox="1"/>
      </xdr:nvSpPr>
      <xdr:spPr>
        <a:xfrm>
          <a:off x="444501" y="1251851"/>
          <a:ext cx="7715250" cy="6844399"/>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Show Them How You Will Make Money</a:t>
          </a:r>
        </a:p>
        <a:p>
          <a:pPr algn="l" rtl="0">
            <a:spcAft>
              <a:spcPts val="1200"/>
            </a:spcAft>
            <a:defRPr sz="1000"/>
          </a:pPr>
          <a:r>
            <a:rPr lang="en-US" sz="1800" b="0" i="0" u="none" strike="noStrike" baseline="0">
              <a:solidFill>
                <a:srgbClr val="0D0F11"/>
              </a:solidFill>
              <a:latin typeface="Arial"/>
              <a:cs typeface="Arial"/>
            </a:rPr>
            <a:t>One of the key metrics investors consider before committing their funds is how long it will take to reciover their investment, and one of the clearest ways to portray this is using a cumulative cash payback curve, with investments shown as negative numbers and benefits as positive, providing a sense of the timing, amount, and risks of the investment. The curve is an excellent communications device for the entrepreneurial team, too, setting expectations against which to measure the actual results as the business unfolds.</a:t>
          </a:r>
        </a:p>
        <a:p>
          <a:pPr algn="l" rtl="0">
            <a:spcAft>
              <a:spcPts val="1200"/>
            </a:spcAft>
            <a:defRPr sz="1000"/>
          </a:pPr>
          <a:r>
            <a:rPr lang="en-US" sz="1800" b="0" i="0" u="none" strike="noStrike" baseline="0">
              <a:solidFill>
                <a:srgbClr val="0D0F11"/>
              </a:solidFill>
              <a:latin typeface="Arial"/>
              <a:cs typeface="Arial"/>
            </a:rPr>
            <a:t>The tool in this workbook provides an easy and accurate way to portray an investment in terms of several common metrics: Payback, Internal Rate of Return (IRR), and Net Present Value (NPV). It is designed to offer potential investors and lenders a clear view of your financial expectations, describing how much cash you will need, when you will need it, and when you, and they, will be able to reap the benefits. </a:t>
          </a:r>
        </a:p>
        <a:p>
          <a:pPr algn="l" rtl="0">
            <a:spcAft>
              <a:spcPts val="1200"/>
            </a:spcAft>
            <a:defRPr sz="1000"/>
          </a:pPr>
          <a:r>
            <a:rPr lang="en-US" sz="1800" b="0" i="0" u="none" strike="noStrike" baseline="0">
              <a:solidFill>
                <a:srgbClr val="0D0F11"/>
              </a:solidFill>
              <a:latin typeface="Arial"/>
              <a:cs typeface="Arial"/>
            </a:rPr>
            <a:t>It is very important that all of your business plans - bringing staff on board, creating production capability, and ramping up your sales - be aligned convincingly with the financial case illustrated in the 'Payback Curve.' Sharp investors will quickly find any holes... watch TV's 'Shark Tank' to get a sense of how tough this can be!</a:t>
          </a:r>
        </a:p>
        <a:p>
          <a:pPr algn="l" rtl="0">
            <a:spcAft>
              <a:spcPts val="1200"/>
            </a:spcAft>
            <a:defRPr sz="1000"/>
          </a:pPr>
          <a:r>
            <a:rPr lang="en-US" sz="1800" b="0" i="0" u="none" strike="noStrike" baseline="0">
              <a:solidFill>
                <a:srgbClr val="0D0F11"/>
              </a:solidFill>
              <a:latin typeface="Arial"/>
              <a:cs typeface="Arial"/>
            </a:rPr>
            <a:t>NPV and IRR are described in the ROI Key Calculations worksheet.</a:t>
          </a:r>
        </a:p>
      </xdr:txBody>
    </xdr:sp>
    <xdr:clientData/>
  </xdr:twoCellAnchor>
  <xdr:twoCellAnchor>
    <xdr:from>
      <xdr:col>0</xdr:col>
      <xdr:colOff>0</xdr:colOff>
      <xdr:row>0</xdr:row>
      <xdr:rowOff>158750</xdr:rowOff>
    </xdr:from>
    <xdr:to>
      <xdr:col>24</xdr:col>
      <xdr:colOff>142875</xdr:colOff>
      <xdr:row>0</xdr:row>
      <xdr:rowOff>866636</xdr:rowOff>
    </xdr:to>
    <xdr:grpSp>
      <xdr:nvGrpSpPr>
        <xdr:cNvPr id="12" name="Group 11"/>
        <xdr:cNvGrpSpPr/>
      </xdr:nvGrpSpPr>
      <xdr:grpSpPr>
        <a:xfrm>
          <a:off x="0" y="158750"/>
          <a:ext cx="14303375" cy="707886"/>
          <a:chOff x="0" y="158750"/>
          <a:chExt cx="14303375" cy="707886"/>
        </a:xfrm>
      </xdr:grpSpPr>
      <xdr:sp macro="" textlink="">
        <xdr:nvSpPr>
          <xdr:cNvPr id="13" name="TextBox 12"/>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Case Tool</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4" name="Group 13"/>
          <xdr:cNvGrpSpPr/>
        </xdr:nvGrpSpPr>
        <xdr:grpSpPr>
          <a:xfrm>
            <a:off x="10302875" y="158750"/>
            <a:ext cx="4000500" cy="603250"/>
            <a:chOff x="1231900" y="2944298"/>
            <a:chExt cx="4330700" cy="719667"/>
          </a:xfrm>
        </xdr:grpSpPr>
        <xdr:grpSp>
          <xdr:nvGrpSpPr>
            <xdr:cNvPr id="15" name="Group 14"/>
            <xdr:cNvGrpSpPr/>
          </xdr:nvGrpSpPr>
          <xdr:grpSpPr>
            <a:xfrm>
              <a:off x="1231900" y="2944298"/>
              <a:ext cx="4330700" cy="719667"/>
              <a:chOff x="1231900" y="3987800"/>
              <a:chExt cx="4330700" cy="719667"/>
            </a:xfrm>
          </xdr:grpSpPr>
          <xdr:sp macro="" textlink="">
            <xdr:nvSpPr>
              <xdr:cNvPr id="19" name="Left-Right Arrow 1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0" name="Group 19"/>
              <xdr:cNvGrpSpPr/>
            </xdr:nvGrpSpPr>
            <xdr:grpSpPr>
              <a:xfrm>
                <a:off x="1231900" y="3987800"/>
                <a:ext cx="4330700" cy="719667"/>
                <a:chOff x="1231900" y="3987800"/>
                <a:chExt cx="4330700" cy="863600"/>
              </a:xfrm>
            </xdr:grpSpPr>
            <xdr:sp macro="" textlink="">
              <xdr:nvSpPr>
                <xdr:cNvPr id="21" name="Left-Right Arrow 2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2" name="Straight Connector 2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6" name="TextBox 15">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7" name="TextBox 16">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8" name="TextBox 17">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15875</xdr:rowOff>
    </xdr:from>
    <xdr:to>
      <xdr:col>13</xdr:col>
      <xdr:colOff>650874</xdr:colOff>
      <xdr:row>66</xdr:row>
      <xdr:rowOff>47625</xdr:rowOff>
    </xdr:to>
    <xdr:sp macro="" textlink="">
      <xdr:nvSpPr>
        <xdr:cNvPr id="34" name="TextBox 33"/>
        <xdr:cNvSpPr txBox="1"/>
      </xdr:nvSpPr>
      <xdr:spPr>
        <a:xfrm>
          <a:off x="444500" y="1285875"/>
          <a:ext cx="7032624" cy="1035050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Success in financial terms means having enough money to not have to worry about money as your venture survives, grows, and builds your wealth. You'll need the right attitude and the right tools to do this. The tools in this workbook are intended to help you raise the required capital and set off on a sound financial course. You handle the attitude part!</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Go directly to page 1 of each tool by clicking its link, above, or use the navigation arrows at the top of the page.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How rigorously you use these tools will depend on the complexity of your business concept. However, a little extra rigor up front can save a lot of wheel-spinning and disappointment as you navigate those perilous early years. Don't become one of the 50% of entrepreneurs who fold within a year.</a:t>
          </a: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1</xdr:col>
      <xdr:colOff>0</xdr:colOff>
      <xdr:row>13</xdr:row>
      <xdr:rowOff>32405</xdr:rowOff>
    </xdr:from>
    <xdr:to>
      <xdr:col>11</xdr:col>
      <xdr:colOff>514185</xdr:colOff>
      <xdr:row>49</xdr:row>
      <xdr:rowOff>79374</xdr:rowOff>
    </xdr:to>
    <xdr:sp macro="" textlink="">
      <xdr:nvSpPr>
        <xdr:cNvPr id="36" name="TextBox 35"/>
        <xdr:cNvSpPr txBox="1"/>
      </xdr:nvSpPr>
      <xdr:spPr>
        <a:xfrm>
          <a:off x="0" y="3207405"/>
          <a:ext cx="5562435" cy="576196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800100" lvl="1" indent="-342900" algn="l" rtl="0">
            <a:buFont typeface="+mj-lt"/>
            <a:buAutoNum type="arabicPeriod"/>
            <a:defRPr sz="1000"/>
          </a:pPr>
          <a:r>
            <a:rPr lang="en-US" sz="1800" b="0" i="0" u="none" strike="noStrike" baseline="0">
              <a:solidFill>
                <a:srgbClr val="0D0F11"/>
              </a:solidFill>
              <a:latin typeface="Arial"/>
              <a:cs typeface="Arial"/>
            </a:rPr>
            <a:t>THE RULES: designed to help entrepreneurs adopt a winning financial philosophy.</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FINANCIAL STATEMENT PRIMER: to ensure sufficient financial literacy.</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CHART OF ACCOUNTS: To show how financial books are organized.</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BREAKEVEN: to help entrepreneurs think about how many units they need to sell.</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START-UP FINANCIALS: to help create investor and bank ready statements.</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BUSINESS CASE TOOL: to help create a convincing case for investing.</a:t>
          </a:r>
        </a:p>
        <a:p>
          <a:pPr marL="800100" lvl="1" indent="-342900" algn="l" rtl="0">
            <a:buFont typeface="+mj-lt"/>
            <a:buAutoNum type="arabicPeriod"/>
            <a:defRPr sz="1000"/>
          </a:pPr>
          <a:endParaRPr lang="en-US" sz="1800" b="0" i="0" u="none" strike="noStrike" baseline="0">
            <a:solidFill>
              <a:srgbClr val="0D0F11"/>
            </a:solidFill>
            <a:latin typeface="Arial"/>
            <a:cs typeface="Arial"/>
          </a:endParaRPr>
        </a:p>
        <a:p>
          <a:pPr marL="800100" lvl="1" indent="-342900" algn="l" rtl="0">
            <a:buFont typeface="+mj-lt"/>
            <a:buAutoNum type="arabicPeriod"/>
            <a:defRPr sz="1000"/>
          </a:pPr>
          <a:r>
            <a:rPr lang="en-US" sz="1800" b="0" i="0" u="none" strike="noStrike" baseline="0">
              <a:solidFill>
                <a:srgbClr val="0D0F11"/>
              </a:solidFill>
              <a:latin typeface="Arial"/>
              <a:cs typeface="Arial"/>
            </a:rPr>
            <a:t>BUSINESS PLAN CONCEPT: to help structure a plan that investors will drool over.</a:t>
          </a:r>
        </a:p>
      </xdr:txBody>
    </xdr:sp>
    <xdr:clientData/>
  </xdr:twoCellAnchor>
  <xdr:twoCellAnchor>
    <xdr:from>
      <xdr:col>11</xdr:col>
      <xdr:colOff>631508</xdr:colOff>
      <xdr:row>12</xdr:row>
      <xdr:rowOff>62879</xdr:rowOff>
    </xdr:from>
    <xdr:to>
      <xdr:col>13</xdr:col>
      <xdr:colOff>427609</xdr:colOff>
      <xdr:row>17</xdr:row>
      <xdr:rowOff>12447</xdr:rowOff>
    </xdr:to>
    <xdr:grpSp>
      <xdr:nvGrpSpPr>
        <xdr:cNvPr id="2" name="Group 1">
          <a:hlinkClick xmlns:r="http://schemas.openxmlformats.org/officeDocument/2006/relationships" r:id="rId1"/>
        </xdr:cNvPr>
        <xdr:cNvGrpSpPr/>
      </xdr:nvGrpSpPr>
      <xdr:grpSpPr>
        <a:xfrm>
          <a:off x="6124258" y="3079129"/>
          <a:ext cx="1129601" cy="743318"/>
          <a:chOff x="5870258" y="5508004"/>
          <a:chExt cx="1129601" cy="743318"/>
        </a:xfrm>
      </xdr:grpSpPr>
      <xdr:sp macro="" textlink="">
        <xdr:nvSpPr>
          <xdr:cNvPr id="46" name="Right Arrow 45"/>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47" name="Right Arrow 46"/>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11</xdr:col>
      <xdr:colOff>635000</xdr:colOff>
      <xdr:row>17</xdr:row>
      <xdr:rowOff>111125</xdr:rowOff>
    </xdr:from>
    <xdr:to>
      <xdr:col>13</xdr:col>
      <xdr:colOff>431101</xdr:colOff>
      <xdr:row>22</xdr:row>
      <xdr:rowOff>60693</xdr:rowOff>
    </xdr:to>
    <xdr:grpSp>
      <xdr:nvGrpSpPr>
        <xdr:cNvPr id="58" name="Group 57">
          <a:hlinkClick xmlns:r="http://schemas.openxmlformats.org/officeDocument/2006/relationships" r:id="rId2"/>
        </xdr:cNvPr>
        <xdr:cNvGrpSpPr/>
      </xdr:nvGrpSpPr>
      <xdr:grpSpPr>
        <a:xfrm>
          <a:off x="6127750" y="3921125"/>
          <a:ext cx="1129601" cy="743318"/>
          <a:chOff x="5870258" y="5508004"/>
          <a:chExt cx="1129601" cy="743318"/>
        </a:xfrm>
      </xdr:grpSpPr>
      <xdr:sp macro="" textlink="">
        <xdr:nvSpPr>
          <xdr:cNvPr id="59" name="Right Arrow 58"/>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60" name="Right Arrow 59"/>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11</xdr:col>
      <xdr:colOff>644525</xdr:colOff>
      <xdr:row>28</xdr:row>
      <xdr:rowOff>73025</xdr:rowOff>
    </xdr:from>
    <xdr:to>
      <xdr:col>13</xdr:col>
      <xdr:colOff>440626</xdr:colOff>
      <xdr:row>33</xdr:row>
      <xdr:rowOff>22593</xdr:rowOff>
    </xdr:to>
    <xdr:grpSp>
      <xdr:nvGrpSpPr>
        <xdr:cNvPr id="61" name="Group 60">
          <a:hlinkClick xmlns:r="http://schemas.openxmlformats.org/officeDocument/2006/relationships" r:id="rId3"/>
        </xdr:cNvPr>
        <xdr:cNvGrpSpPr/>
      </xdr:nvGrpSpPr>
      <xdr:grpSpPr>
        <a:xfrm>
          <a:off x="6137275" y="5629275"/>
          <a:ext cx="1129601" cy="743318"/>
          <a:chOff x="5870258" y="5508004"/>
          <a:chExt cx="1129601" cy="743318"/>
        </a:xfrm>
      </xdr:grpSpPr>
      <xdr:sp macro="" textlink="">
        <xdr:nvSpPr>
          <xdr:cNvPr id="62" name="Right Arrow 61"/>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63" name="Right Arrow 62"/>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11</xdr:col>
      <xdr:colOff>654050</xdr:colOff>
      <xdr:row>33</xdr:row>
      <xdr:rowOff>130175</xdr:rowOff>
    </xdr:from>
    <xdr:to>
      <xdr:col>13</xdr:col>
      <xdr:colOff>450151</xdr:colOff>
      <xdr:row>38</xdr:row>
      <xdr:rowOff>79743</xdr:rowOff>
    </xdr:to>
    <xdr:grpSp>
      <xdr:nvGrpSpPr>
        <xdr:cNvPr id="64" name="Group 63">
          <a:hlinkClick xmlns:r="http://schemas.openxmlformats.org/officeDocument/2006/relationships" r:id="rId4"/>
        </xdr:cNvPr>
        <xdr:cNvGrpSpPr/>
      </xdr:nvGrpSpPr>
      <xdr:grpSpPr>
        <a:xfrm>
          <a:off x="6146800" y="6480175"/>
          <a:ext cx="1129601" cy="743318"/>
          <a:chOff x="5870258" y="5508004"/>
          <a:chExt cx="1129601" cy="743318"/>
        </a:xfrm>
      </xdr:grpSpPr>
      <xdr:sp macro="" textlink="">
        <xdr:nvSpPr>
          <xdr:cNvPr id="65" name="Right Arrow 64"/>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66" name="Right Arrow 65"/>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11</xdr:col>
      <xdr:colOff>663575</xdr:colOff>
      <xdr:row>39</xdr:row>
      <xdr:rowOff>12700</xdr:rowOff>
    </xdr:from>
    <xdr:to>
      <xdr:col>13</xdr:col>
      <xdr:colOff>459676</xdr:colOff>
      <xdr:row>43</xdr:row>
      <xdr:rowOff>121018</xdr:rowOff>
    </xdr:to>
    <xdr:grpSp>
      <xdr:nvGrpSpPr>
        <xdr:cNvPr id="23" name="Group 22">
          <a:hlinkClick xmlns:r="http://schemas.openxmlformats.org/officeDocument/2006/relationships" r:id="rId5"/>
        </xdr:cNvPr>
        <xdr:cNvGrpSpPr/>
      </xdr:nvGrpSpPr>
      <xdr:grpSpPr>
        <a:xfrm>
          <a:off x="6156325" y="7315200"/>
          <a:ext cx="1129601" cy="743318"/>
          <a:chOff x="5870258" y="5508004"/>
          <a:chExt cx="1129601" cy="743318"/>
        </a:xfrm>
      </xdr:grpSpPr>
      <xdr:sp macro="" textlink="">
        <xdr:nvSpPr>
          <xdr:cNvPr id="24" name="Right Arrow 23"/>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25" name="Right Arrow 24"/>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12</xdr:col>
      <xdr:colOff>6350</xdr:colOff>
      <xdr:row>44</xdr:row>
      <xdr:rowOff>53975</xdr:rowOff>
    </xdr:from>
    <xdr:to>
      <xdr:col>13</xdr:col>
      <xdr:colOff>469201</xdr:colOff>
      <xdr:row>49</xdr:row>
      <xdr:rowOff>3543</xdr:rowOff>
    </xdr:to>
    <xdr:grpSp>
      <xdr:nvGrpSpPr>
        <xdr:cNvPr id="26" name="Group 25">
          <a:hlinkClick xmlns:r="http://schemas.openxmlformats.org/officeDocument/2006/relationships" r:id="rId6"/>
        </xdr:cNvPr>
        <xdr:cNvGrpSpPr/>
      </xdr:nvGrpSpPr>
      <xdr:grpSpPr>
        <a:xfrm>
          <a:off x="6165850" y="8150225"/>
          <a:ext cx="1129601" cy="743318"/>
          <a:chOff x="5870258" y="5508004"/>
          <a:chExt cx="1129601" cy="743318"/>
        </a:xfrm>
      </xdr:grpSpPr>
      <xdr:sp macro="" textlink="">
        <xdr:nvSpPr>
          <xdr:cNvPr id="27" name="Right Arrow 26"/>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28" name="Right Arrow 27"/>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11</xdr:col>
      <xdr:colOff>650875</xdr:colOff>
      <xdr:row>23</xdr:row>
      <xdr:rowOff>15875</xdr:rowOff>
    </xdr:from>
    <xdr:to>
      <xdr:col>13</xdr:col>
      <xdr:colOff>446976</xdr:colOff>
      <xdr:row>27</xdr:row>
      <xdr:rowOff>124193</xdr:rowOff>
    </xdr:to>
    <xdr:grpSp>
      <xdr:nvGrpSpPr>
        <xdr:cNvPr id="29" name="Group 28">
          <a:hlinkClick xmlns:r="http://schemas.openxmlformats.org/officeDocument/2006/relationships" r:id="rId7"/>
        </xdr:cNvPr>
        <xdr:cNvGrpSpPr/>
      </xdr:nvGrpSpPr>
      <xdr:grpSpPr>
        <a:xfrm>
          <a:off x="6143625" y="4778375"/>
          <a:ext cx="1129601" cy="743318"/>
          <a:chOff x="5870258" y="5508004"/>
          <a:chExt cx="1129601" cy="743318"/>
        </a:xfrm>
      </xdr:grpSpPr>
      <xdr:sp macro="" textlink="">
        <xdr:nvSpPr>
          <xdr:cNvPr id="30" name="Right Arrow 29"/>
          <xdr:cNvSpPr/>
        </xdr:nvSpPr>
        <xdr:spPr>
          <a:xfrm>
            <a:off x="5870258" y="5508004"/>
            <a:ext cx="1120145" cy="730737"/>
          </a:xfrm>
          <a:prstGeom prst="rightArrow">
            <a:avLst>
              <a:gd name="adj1" fmla="val 73148"/>
              <a:gd name="adj2" fmla="val 50000"/>
            </a:avLst>
          </a:prstGeom>
          <a:solidFill>
            <a:srgbClr val="FFFFFF"/>
          </a:solidFill>
          <a:ln w="28575" cmpd="sng">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effectLst>
                  <a:outerShdw blurRad="50800" dist="63500" dir="2700000" algn="tl" rotWithShape="0">
                    <a:prstClr val="black">
                      <a:alpha val="40000"/>
                    </a:prstClr>
                  </a:outerShdw>
                </a:effectLst>
                <a:latin typeface="Arial"/>
                <a:ea typeface="+mn-ea"/>
                <a:cs typeface="Arial"/>
              </a:rPr>
              <a:t>  GO!</a:t>
            </a:r>
          </a:p>
        </xdr:txBody>
      </xdr:sp>
      <xdr:sp macro="" textlink="">
        <xdr:nvSpPr>
          <xdr:cNvPr id="31" name="Right Arrow 30"/>
          <xdr:cNvSpPr/>
        </xdr:nvSpPr>
        <xdr:spPr>
          <a:xfrm>
            <a:off x="5879714" y="5520585"/>
            <a:ext cx="1120145" cy="730737"/>
          </a:xfrm>
          <a:prstGeom prst="rightArrow">
            <a:avLst>
              <a:gd name="adj1" fmla="val 73148"/>
              <a:gd name="adj2" fmla="val 50000"/>
            </a:avLst>
          </a:prstGeom>
          <a:noFill/>
          <a:ln w="28575" cmpd="sng">
            <a:solidFill>
              <a:srgbClr val="0000FF"/>
            </a:solidFill>
          </a:ln>
          <a:effectLst>
            <a:outerShdw blurRad="50800" dist="50800" dir="2700000" sx="101000" sy="101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0</xdr:col>
      <xdr:colOff>0</xdr:colOff>
      <xdr:row>0</xdr:row>
      <xdr:rowOff>158750</xdr:rowOff>
    </xdr:from>
    <xdr:to>
      <xdr:col>24</xdr:col>
      <xdr:colOff>142875</xdr:colOff>
      <xdr:row>0</xdr:row>
      <xdr:rowOff>866636</xdr:rowOff>
    </xdr:to>
    <xdr:grpSp>
      <xdr:nvGrpSpPr>
        <xdr:cNvPr id="33" name="Group 32"/>
        <xdr:cNvGrpSpPr/>
      </xdr:nvGrpSpPr>
      <xdr:grpSpPr>
        <a:xfrm>
          <a:off x="0" y="158750"/>
          <a:ext cx="14303375" cy="707886"/>
          <a:chOff x="0" y="158750"/>
          <a:chExt cx="14303375" cy="707886"/>
        </a:xfrm>
      </xdr:grpSpPr>
      <xdr:grpSp>
        <xdr:nvGrpSpPr>
          <xdr:cNvPr id="35" name="Group 34"/>
          <xdr:cNvGrpSpPr/>
        </xdr:nvGrpSpPr>
        <xdr:grpSpPr>
          <a:xfrm>
            <a:off x="0" y="158750"/>
            <a:ext cx="14303375" cy="707886"/>
            <a:chOff x="0" y="0"/>
            <a:chExt cx="14303375" cy="707886"/>
          </a:xfrm>
        </xdr:grpSpPr>
        <xdr:sp macro="" textlink="">
          <xdr:nvSpPr>
            <xdr:cNvPr id="38" name="TextBox 3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Tools for RAISING CAPITAL</a:t>
              </a:r>
            </a:p>
          </xdr:txBody>
        </xdr:sp>
        <xdr:grpSp>
          <xdr:nvGrpSpPr>
            <xdr:cNvPr id="39" name="Group 38"/>
            <xdr:cNvGrpSpPr/>
          </xdr:nvGrpSpPr>
          <xdr:grpSpPr>
            <a:xfrm>
              <a:off x="10302875" y="0"/>
              <a:ext cx="4000500" cy="603250"/>
              <a:chOff x="1231900" y="2944298"/>
              <a:chExt cx="4330700" cy="719667"/>
            </a:xfrm>
          </xdr:grpSpPr>
          <xdr:grpSp>
            <xdr:nvGrpSpPr>
              <xdr:cNvPr id="40" name="Group 39"/>
              <xdr:cNvGrpSpPr/>
            </xdr:nvGrpSpPr>
            <xdr:grpSpPr>
              <a:xfrm>
                <a:off x="1231900" y="2944298"/>
                <a:ext cx="4330700" cy="719667"/>
                <a:chOff x="1231900" y="3987800"/>
                <a:chExt cx="4330700" cy="719667"/>
              </a:xfrm>
            </xdr:grpSpPr>
            <xdr:sp macro="" textlink="">
              <xdr:nvSpPr>
                <xdr:cNvPr id="44" name="Left-Right Arrow 4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5" name="Group 44"/>
                <xdr:cNvGrpSpPr/>
              </xdr:nvGrpSpPr>
              <xdr:grpSpPr>
                <a:xfrm>
                  <a:off x="1231900" y="3987800"/>
                  <a:ext cx="4330700" cy="719667"/>
                  <a:chOff x="1231900" y="3987800"/>
                  <a:chExt cx="4330700" cy="863600"/>
                </a:xfrm>
              </xdr:grpSpPr>
              <xdr:sp macro="" textlink="">
                <xdr:nvSpPr>
                  <xdr:cNvPr id="48" name="Left-Right Arrow 4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0" name="Straight Connector 4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1" name="TextBox 40">
                <a:hlinkClick xmlns:r="http://schemas.openxmlformats.org/officeDocument/2006/relationships" r:id="rId8"/>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42" name="TextBox 41">
                <a:hlinkClick xmlns:r="http://schemas.openxmlformats.org/officeDocument/2006/relationships" r:id="rId1"/>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43" name="TextBox 42"/>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37" name="Rectangle 36"/>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14</xdr:col>
      <xdr:colOff>349250</xdr:colOff>
      <xdr:row>1</xdr:row>
      <xdr:rowOff>15874</xdr:rowOff>
    </xdr:from>
    <xdr:to>
      <xdr:col>25</xdr:col>
      <xdr:colOff>51954</xdr:colOff>
      <xdr:row>27</xdr:row>
      <xdr:rowOff>63499</xdr:rowOff>
    </xdr:to>
    <xdr:grpSp>
      <xdr:nvGrpSpPr>
        <xdr:cNvPr id="53" name="Group 52"/>
        <xdr:cNvGrpSpPr/>
      </xdr:nvGrpSpPr>
      <xdr:grpSpPr>
        <a:xfrm>
          <a:off x="7842250" y="1285874"/>
          <a:ext cx="7036954" cy="4175125"/>
          <a:chOff x="7366000" y="1301750"/>
          <a:chExt cx="7036954" cy="4175125"/>
        </a:xfrm>
      </xdr:grpSpPr>
      <xdr:sp macro="" textlink="">
        <xdr:nvSpPr>
          <xdr:cNvPr id="54" name="TextBox 53"/>
          <xdr:cNvSpPr txBox="1"/>
        </xdr:nvSpPr>
        <xdr:spPr>
          <a:xfrm>
            <a:off x="7366000" y="1301750"/>
            <a:ext cx="7036954" cy="4175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a valuable step-by-step toolkit for entrepreneurs, some free, some a bit more robust and not quite free.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55" name="Picture 54">
            <a:hlinkClick xmlns:r="http://schemas.openxmlformats.org/officeDocument/2006/relationships" r:id="rId9"/>
          </xdr:cNvPr>
          <xdr:cNvPicPr>
            <a:picLocks noChangeAspect="1"/>
          </xdr:cNvPicPr>
        </xdr:nvPicPr>
        <xdr:blipFill rotWithShape="1">
          <a:blip xmlns:r="http://schemas.openxmlformats.org/officeDocument/2006/relationships" r:embed="rId10">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9159875" y="2540001"/>
            <a:ext cx="3156858" cy="1102178"/>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619125</xdr:colOff>
      <xdr:row>1</xdr:row>
      <xdr:rowOff>127000</xdr:rowOff>
    </xdr:from>
    <xdr:to>
      <xdr:col>8</xdr:col>
      <xdr:colOff>349250</xdr:colOff>
      <xdr:row>23</xdr:row>
      <xdr:rowOff>63500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63500</xdr:colOff>
      <xdr:row>38</xdr:row>
      <xdr:rowOff>158749</xdr:rowOff>
    </xdr:from>
    <xdr:to>
      <xdr:col>9</xdr:col>
      <xdr:colOff>142874</xdr:colOff>
      <xdr:row>64</xdr:row>
      <xdr:rowOff>15875</xdr:rowOff>
    </xdr:to>
    <xdr:sp macro="" textlink="">
      <xdr:nvSpPr>
        <xdr:cNvPr id="3" name="Text Box 20"/>
        <xdr:cNvSpPr txBox="1">
          <a:spLocks noChangeArrowheads="1"/>
        </xdr:cNvSpPr>
      </xdr:nvSpPr>
      <xdr:spPr bwMode="auto">
        <a:xfrm>
          <a:off x="2190750" y="8239124"/>
          <a:ext cx="7969249" cy="3984626"/>
        </a:xfrm>
        <a:prstGeom prst="rect">
          <a:avLst/>
        </a:prstGeom>
        <a:solidFill>
          <a:schemeClr val="bg1"/>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91440" tIns="45720" rIns="91440" bIns="45720" anchor="t" upright="1"/>
        <a:lstStyle/>
        <a:p>
          <a:pPr algn="l" rtl="0">
            <a:defRPr sz="1000"/>
          </a:pPr>
          <a:r>
            <a:rPr lang="en-US" sz="2000" b="1" i="1" u="sng" strike="noStrike" baseline="0">
              <a:solidFill>
                <a:srgbClr val="0D0F11"/>
              </a:solidFill>
              <a:latin typeface="Arial"/>
              <a:cs typeface="Arial"/>
            </a:rPr>
            <a:t>Instructions for This Page</a:t>
          </a: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Cash Flow data used for this chart is derived from the Start-Up Financials Tool. To update this data, return to that tool's control.</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The slide bars above allow easy evaluation of different discount rates  (investment hurdle) and the Risk associated with achieving the cash flow stream. The discount rate is applied in this chart to both revenues and costs, so the 'Worst Case' is only worst in terms of revenue, not cost.</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This Payback page is formatted to print excluding the controls and this instruction box.</a:t>
          </a:r>
        </a:p>
        <a:p>
          <a:pPr algn="l" rtl="0">
            <a:defRPr sz="1000"/>
          </a:pPr>
          <a:endParaRPr lang="en-US" sz="1800" b="0" i="0" u="none" strike="noStrike" baseline="0">
            <a:solidFill>
              <a:srgbClr val="0D0F11"/>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203200</xdr:colOff>
          <xdr:row>11</xdr:row>
          <xdr:rowOff>76200</xdr:rowOff>
        </xdr:from>
        <xdr:to>
          <xdr:col>9</xdr:col>
          <xdr:colOff>1790700</xdr:colOff>
          <xdr:row>12</xdr:row>
          <xdr:rowOff>152400</xdr:rowOff>
        </xdr:to>
        <xdr:sp macro="" textlink="">
          <xdr:nvSpPr>
            <xdr:cNvPr id="17410" name="Scroll Bar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16</xdr:row>
          <xdr:rowOff>76200</xdr:rowOff>
        </xdr:from>
        <xdr:to>
          <xdr:col>9</xdr:col>
          <xdr:colOff>1803400</xdr:colOff>
          <xdr:row>17</xdr:row>
          <xdr:rowOff>152400</xdr:rowOff>
        </xdr:to>
        <xdr:sp macro="" textlink="">
          <xdr:nvSpPr>
            <xdr:cNvPr id="17420" name="Scroll Bar 12" hidden="1">
              <a:extLst>
                <a:ext uri="{63B3BB69-23CF-44E3-9099-C40C66FF867C}">
                  <a14:compatExt spid="_x0000_s17420"/>
                </a:ext>
              </a:extLst>
            </xdr:cNvPr>
            <xdr:cNvSpPr/>
          </xdr:nvSpPr>
          <xdr:spPr>
            <a:xfrm>
              <a:off x="0" y="0"/>
              <a:ext cx="0" cy="0"/>
            </a:xfrm>
            <a:prstGeom prst="rect">
              <a:avLst/>
            </a:prstGeom>
          </xdr:spPr>
        </xdr:sp>
        <xdr:clientData fPrintsWithSheet="0"/>
      </xdr:twoCellAnchor>
    </mc:Choice>
    <mc:Fallback/>
  </mc:AlternateContent>
  <xdr:twoCellAnchor>
    <xdr:from>
      <xdr:col>4</xdr:col>
      <xdr:colOff>142875</xdr:colOff>
      <xdr:row>45</xdr:row>
      <xdr:rowOff>127000</xdr:rowOff>
    </xdr:from>
    <xdr:to>
      <xdr:col>6</xdr:col>
      <xdr:colOff>333295</xdr:colOff>
      <xdr:row>48</xdr:row>
      <xdr:rowOff>79375</xdr:rowOff>
    </xdr:to>
    <xdr:sp macro="" textlink="">
      <xdr:nvSpPr>
        <xdr:cNvPr id="18" name="Bevel 17">
          <a:hlinkClick xmlns:r="http://schemas.openxmlformats.org/officeDocument/2006/relationships" r:id="rId2"/>
        </xdr:cNvPr>
        <xdr:cNvSpPr/>
      </xdr:nvSpPr>
      <xdr:spPr>
        <a:xfrm>
          <a:off x="4810125" y="9318625"/>
          <a:ext cx="273042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800" b="1"/>
            <a:t>To Control</a:t>
          </a:r>
        </a:p>
      </xdr:txBody>
    </xdr:sp>
    <xdr:clientData fPrintsWithSheet="0"/>
  </xdr:twoCellAnchor>
  <xdr:twoCellAnchor>
    <xdr:from>
      <xdr:col>0</xdr:col>
      <xdr:colOff>0</xdr:colOff>
      <xdr:row>0</xdr:row>
      <xdr:rowOff>158750</xdr:rowOff>
    </xdr:from>
    <xdr:to>
      <xdr:col>13</xdr:col>
      <xdr:colOff>95250</xdr:colOff>
      <xdr:row>0</xdr:row>
      <xdr:rowOff>866636</xdr:rowOff>
    </xdr:to>
    <xdr:grpSp>
      <xdr:nvGrpSpPr>
        <xdr:cNvPr id="19" name="Group 18"/>
        <xdr:cNvGrpSpPr/>
      </xdr:nvGrpSpPr>
      <xdr:grpSpPr>
        <a:xfrm>
          <a:off x="0" y="158750"/>
          <a:ext cx="14303375" cy="707886"/>
          <a:chOff x="0" y="0"/>
          <a:chExt cx="14303375" cy="707886"/>
        </a:xfrm>
      </xdr:grpSpPr>
      <xdr:sp macro="" textlink="">
        <xdr:nvSpPr>
          <xdr:cNvPr id="20" name="TextBox 19"/>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Payback Curve</a:t>
            </a:r>
          </a:p>
        </xdr:txBody>
      </xdr:sp>
      <xdr:grpSp>
        <xdr:nvGrpSpPr>
          <xdr:cNvPr id="21" name="Group 20"/>
          <xdr:cNvGrpSpPr/>
        </xdr:nvGrpSpPr>
        <xdr:grpSpPr>
          <a:xfrm>
            <a:off x="10302875" y="0"/>
            <a:ext cx="4000500" cy="603250"/>
            <a:chOff x="1231900" y="2944298"/>
            <a:chExt cx="4330700" cy="719667"/>
          </a:xfrm>
        </xdr:grpSpPr>
        <xdr:grpSp>
          <xdr:nvGrpSpPr>
            <xdr:cNvPr id="22" name="Group 21"/>
            <xdr:cNvGrpSpPr/>
          </xdr:nvGrpSpPr>
          <xdr:grpSpPr>
            <a:xfrm>
              <a:off x="1231900" y="2944298"/>
              <a:ext cx="4330700" cy="719667"/>
              <a:chOff x="1231900" y="3987800"/>
              <a:chExt cx="4330700" cy="719667"/>
            </a:xfrm>
          </xdr:grpSpPr>
          <xdr:sp macro="" textlink="">
            <xdr:nvSpPr>
              <xdr:cNvPr id="26" name="Left-Right Arrow 2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7" name="Group 26"/>
              <xdr:cNvGrpSpPr/>
            </xdr:nvGrpSpPr>
            <xdr:grpSpPr>
              <a:xfrm>
                <a:off x="1231900" y="3987800"/>
                <a:ext cx="4330700" cy="719667"/>
                <a:chOff x="1231900" y="3987800"/>
                <a:chExt cx="4330700" cy="863600"/>
              </a:xfrm>
            </xdr:grpSpPr>
            <xdr:sp macro="" textlink="">
              <xdr:nvSpPr>
                <xdr:cNvPr id="28" name="Left-Right Arrow 2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9" name="Straight Connector 28"/>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0" name="Straight Connector 2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3" name="TextBox 22">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4" name="TextBox 23">
              <a:hlinkClick xmlns:r="http://schemas.openxmlformats.org/officeDocument/2006/relationships" r:id="rId4"/>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5" name="TextBox 24">
              <a:hlinkClick xmlns:r="http://schemas.openxmlformats.org/officeDocument/2006/relationships" r:id="rId5"/>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1260928</xdr:rowOff>
    </xdr:from>
    <xdr:to>
      <xdr:col>4</xdr:col>
      <xdr:colOff>1</xdr:colOff>
      <xdr:row>62</xdr:row>
      <xdr:rowOff>111125</xdr:rowOff>
    </xdr:to>
    <xdr:sp macro="" textlink="">
      <xdr:nvSpPr>
        <xdr:cNvPr id="2" name="TextBox 1"/>
        <xdr:cNvSpPr txBox="1"/>
      </xdr:nvSpPr>
      <xdr:spPr>
        <a:xfrm>
          <a:off x="0" y="1260928"/>
          <a:ext cx="13731876" cy="9803947"/>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600" b="0" i="0" u="none" strike="noStrike" baseline="0">
              <a:solidFill>
                <a:srgbClr val="0D0F11"/>
              </a:solidFill>
              <a:latin typeface="Arial"/>
              <a:cs typeface="Arial"/>
            </a:rPr>
            <a:t>ROI (Return on Investment): Whenever an investment is made, the investor needs to understand when and how it will be recovered and how much it will eventually return. Two key measures commonly used are NPV and IRR.</a:t>
          </a:r>
        </a:p>
        <a:p>
          <a:pPr algn="l" rtl="0">
            <a:defRPr sz="1000"/>
          </a:pPr>
          <a:endParaRPr lang="en-US" sz="1600" b="0" i="0" u="none" strike="noStrike" baseline="0">
            <a:solidFill>
              <a:srgbClr val="0D0F11"/>
            </a:solidFill>
            <a:latin typeface="Arial"/>
            <a:cs typeface="Arial"/>
          </a:endParaRPr>
        </a:p>
        <a:p>
          <a:pPr algn="l" rtl="0">
            <a:defRPr sz="1000"/>
          </a:pPr>
          <a:r>
            <a:rPr lang="en-US" sz="1800" b="1" i="1" u="sng" strike="noStrike" baseline="0">
              <a:solidFill>
                <a:srgbClr val="0D0F11"/>
              </a:solidFill>
              <a:latin typeface="Arial"/>
              <a:cs typeface="Arial"/>
            </a:rPr>
            <a:t>Net Present Value (NPV) </a:t>
          </a:r>
        </a:p>
        <a:p>
          <a:pPr algn="l" rtl="0">
            <a:defRPr sz="1000"/>
          </a:pPr>
          <a:r>
            <a:rPr lang="en-US" sz="1600" b="0" i="0" u="none" strike="noStrike" baseline="0">
              <a:solidFill>
                <a:srgbClr val="0D0F11"/>
              </a:solidFill>
              <a:latin typeface="Arial"/>
              <a:cs typeface="Arial"/>
            </a:rPr>
            <a:t>Net Present Value is a calculated estimate of the value of an investment's cash outflows and inflows over the life of the investment at a given discount rate. It is based on the concept that money in hand at present is worth more than money in the future. . The discount rate devalues the future payments increasingly as time goes by, so that a payment received in the far distant future is considered less valuable than the same payment would have been earlier. Bank interest reflects this reality and sets one useful Discount Rate as a hurdle - will the investment under consideration pay as much as or more than bank interest? To calculate NPV :</a:t>
          </a:r>
        </a:p>
        <a:p>
          <a:pPr algn="l" rtl="0">
            <a:defRPr sz="1000"/>
          </a:pPr>
          <a:endParaRPr lang="en-US" sz="1600" b="0" i="0" u="none" strike="noStrike" baseline="0">
            <a:solidFill>
              <a:srgbClr val="0D0F11"/>
            </a:solidFill>
            <a:latin typeface="Arial"/>
            <a:cs typeface="Arial"/>
          </a:endParaRPr>
        </a:p>
        <a:p>
          <a:pPr algn="l" rtl="0">
            <a:defRPr sz="1000"/>
          </a:pPr>
          <a:r>
            <a:rPr lang="en-US" sz="1600" b="0" i="0" u="none" strike="noStrike" baseline="0">
              <a:solidFill>
                <a:srgbClr val="0D0F11"/>
              </a:solidFill>
              <a:latin typeface="Arial"/>
              <a:cs typeface="Arial"/>
            </a:rPr>
            <a:t>     NPV = Investment - ∑Paymentn x Period Discount Raten</a:t>
          </a:r>
        </a:p>
        <a:p>
          <a:pPr algn="l" rtl="0">
            <a:defRPr sz="1000"/>
          </a:pPr>
          <a:r>
            <a:rPr lang="en-US" sz="1600" b="0" i="0" u="none" strike="noStrike" baseline="0">
              <a:solidFill>
                <a:srgbClr val="0D0F11"/>
              </a:solidFill>
              <a:latin typeface="Arial"/>
              <a:cs typeface="Arial"/>
            </a:rPr>
            <a:t>     where n is the selected period and Period Discount Raten = (1 – Discount Rate) ^ Period n.</a:t>
          </a:r>
        </a:p>
        <a:p>
          <a:pPr algn="l" rtl="0">
            <a:defRPr sz="1000"/>
          </a:pPr>
          <a:endParaRPr lang="en-US" sz="1600" b="0" i="0" u="none" strike="noStrike" baseline="0">
            <a:solidFill>
              <a:srgbClr val="0D0F11"/>
            </a:solidFill>
            <a:latin typeface="Arial"/>
            <a:cs typeface="Arial"/>
          </a:endParaRPr>
        </a:p>
        <a:p>
          <a:pPr algn="l" rtl="0">
            <a:defRPr sz="1000"/>
          </a:pPr>
          <a:r>
            <a:rPr lang="en-US" sz="1600" b="0" i="0" u="none" strike="noStrike" baseline="0">
              <a:solidFill>
                <a:srgbClr val="0D0F11"/>
              </a:solidFill>
              <a:latin typeface="Arial"/>
              <a:cs typeface="Arial"/>
            </a:rPr>
            <a:t>Or,</a:t>
          </a:r>
        </a:p>
        <a:p>
          <a:pPr algn="l" rtl="0">
            <a:defRPr sz="1000"/>
          </a:pPr>
          <a:r>
            <a:rPr lang="en-US" sz="1600" b="0" i="0" u="none" strike="noStrike" baseline="0">
              <a:solidFill>
                <a:srgbClr val="0D0F11"/>
              </a:solidFill>
              <a:latin typeface="Arial"/>
              <a:cs typeface="Arial"/>
            </a:rPr>
            <a:t>1.  PVIF = 1 / (1 + R) ^ t where PVIF is the Present Value Interest Factor for each period, R is the Interest Rate and t is the period (generally year 1, 2, 3, etc). </a:t>
          </a:r>
        </a:p>
        <a:p>
          <a:pPr algn="l" rtl="0">
            <a:defRPr sz="1000"/>
          </a:pPr>
          <a:r>
            <a:rPr lang="en-US" sz="1600" b="0" i="0" u="none" strike="noStrike" baseline="0">
              <a:solidFill>
                <a:srgbClr val="0D0F11"/>
              </a:solidFill>
              <a:latin typeface="Arial"/>
              <a:cs typeface="Arial"/>
            </a:rPr>
            <a:t>     Each successive period will apply the interest rate to the prior year's reduced rate, so later money is realized, the less it is worth in the present.  </a:t>
          </a:r>
        </a:p>
        <a:p>
          <a:pPr algn="l" rtl="0">
            <a:defRPr sz="1000"/>
          </a:pPr>
          <a:r>
            <a:rPr lang="en-US" sz="1600" b="0" i="0" u="none" strike="noStrike" baseline="0">
              <a:solidFill>
                <a:srgbClr val="0D0F11"/>
              </a:solidFill>
              <a:latin typeface="Arial"/>
              <a:cs typeface="Arial"/>
            </a:rPr>
            <a:t>2.  PV = Amount x PVIF where PV is Present Value for each period and Amount refers to the amount to be realized in that period</a:t>
          </a:r>
        </a:p>
        <a:p>
          <a:pPr algn="l" rtl="0">
            <a:defRPr sz="1000"/>
          </a:pPr>
          <a:r>
            <a:rPr lang="en-US" sz="1600" b="0" i="0" u="none" strike="noStrike" baseline="0">
              <a:solidFill>
                <a:srgbClr val="0D0F11"/>
              </a:solidFill>
              <a:latin typeface="Arial"/>
              <a:cs typeface="Arial"/>
            </a:rPr>
            <a:t>3.  Net Present Value (NPV) = Sum of (PV) for all periods</a:t>
          </a:r>
        </a:p>
        <a:p>
          <a:pPr algn="l" rtl="0">
            <a:defRPr sz="1000"/>
          </a:pPr>
          <a:r>
            <a:rPr lang="en-US" sz="1600" b="0" i="0" u="none" strike="noStrike" baseline="0">
              <a:solidFill>
                <a:srgbClr val="0D0F11"/>
              </a:solidFill>
              <a:latin typeface="Arial"/>
              <a:cs typeface="Arial"/>
            </a:rPr>
            <a:t>     •  Assumes the cash is invested in the period prior to period 1.</a:t>
          </a:r>
        </a:p>
        <a:p>
          <a:pPr algn="l" rtl="0">
            <a:defRPr sz="1000"/>
          </a:pPr>
          <a:r>
            <a:rPr lang="en-US" sz="1600" b="0" i="0" u="none" strike="noStrike" baseline="0">
              <a:solidFill>
                <a:srgbClr val="0D0F11"/>
              </a:solidFill>
              <a:latin typeface="Arial"/>
              <a:cs typeface="Arial"/>
            </a:rPr>
            <a:t>     •  Negative values in early periods represent investments</a:t>
          </a:r>
        </a:p>
        <a:p>
          <a:pPr algn="l" rtl="0">
            <a:defRPr sz="1000"/>
          </a:pPr>
          <a:endParaRPr lang="en-US" sz="1600" b="0" i="0" u="none" strike="noStrike" baseline="0">
            <a:solidFill>
              <a:srgbClr val="0D0F11"/>
            </a:solidFill>
            <a:latin typeface="Arial"/>
            <a:cs typeface="Arial"/>
          </a:endParaRPr>
        </a:p>
        <a:p>
          <a:pPr algn="l" rtl="0">
            <a:defRPr sz="1000"/>
          </a:pPr>
          <a:r>
            <a:rPr lang="en-US" sz="1600" b="0" i="0" u="none" strike="noStrike" baseline="0">
              <a:solidFill>
                <a:srgbClr val="0D0F11"/>
              </a:solidFill>
              <a:latin typeface="Arial"/>
              <a:cs typeface="Arial"/>
            </a:rPr>
            <a:t>NPV provides the cash value of an investment in today's terms but does not address whether the discount rate is appropriate nor how long cash will be tied up.</a:t>
          </a:r>
        </a:p>
        <a:p>
          <a:pPr algn="l" rtl="0">
            <a:defRPr sz="1000"/>
          </a:pPr>
          <a:endParaRPr lang="en-US" sz="1600" b="0" i="0" u="none" strike="noStrike" baseline="0">
            <a:solidFill>
              <a:srgbClr val="0D0F11"/>
            </a:solidFill>
            <a:latin typeface="Arial"/>
            <a:cs typeface="Arial"/>
          </a:endParaRPr>
        </a:p>
        <a:p>
          <a:pPr algn="l" rtl="0">
            <a:defRPr sz="1000"/>
          </a:pPr>
          <a:r>
            <a:rPr lang="en-US" sz="1600" b="0" i="0" u="none" strike="noStrike" baseline="0">
              <a:solidFill>
                <a:srgbClr val="0D0F11"/>
              </a:solidFill>
              <a:latin typeface="Arial"/>
              <a:cs typeface="Arial"/>
            </a:rPr>
            <a:t>Excel has a powerful NPV calculator, but it will underestimate (discount) the value of the initial investment. To correct for this, use the NPV calculator for years 2 and subsequent, then add the first year (a negative value) to calculate NPV accurately - NPV(Cell containing Year 2 : Cell containing Year n) + Cell containing Year 1. Also, if you leave a period blank in Excel, it is assumed not included; if you enter a zero, it will be included.</a:t>
          </a:r>
        </a:p>
        <a:p>
          <a:pPr algn="l" rtl="0">
            <a:defRPr sz="1000"/>
          </a:pPr>
          <a:endParaRPr lang="en-US" sz="1600" b="0" i="0" u="none" strike="noStrike" baseline="0">
            <a:solidFill>
              <a:srgbClr val="0D0F11"/>
            </a:solidFill>
            <a:latin typeface="Arial"/>
            <a:cs typeface="Arial"/>
          </a:endParaRPr>
        </a:p>
        <a:p>
          <a:pPr algn="l" rtl="0">
            <a:defRPr sz="1000"/>
          </a:pPr>
          <a:r>
            <a:rPr lang="en-US" sz="1800" b="1" i="1" u="sng" strike="noStrike" baseline="0">
              <a:solidFill>
                <a:srgbClr val="0D0F11"/>
              </a:solidFill>
              <a:latin typeface="Arial"/>
              <a:cs typeface="Arial"/>
            </a:rPr>
            <a:t>Internal Rate of Return (IRR)</a:t>
          </a:r>
        </a:p>
        <a:p>
          <a:pPr algn="l" rtl="0">
            <a:defRPr sz="1000"/>
          </a:pPr>
          <a:r>
            <a:rPr lang="en-US" sz="1600" b="0" i="0" u="none" strike="noStrike" baseline="0">
              <a:solidFill>
                <a:srgbClr val="0D0F11"/>
              </a:solidFill>
              <a:latin typeface="Arial"/>
              <a:cs typeface="Arial"/>
            </a:rPr>
            <a:t>This is the discount rate at which Net Present Value equals zero, meaning that the sum of the discounted payments received in the future equal the initial investment paid out. IRR is always an approximation and an average over time when the payments received vary from period to period. IRR is calculated using the Net Present Value formula iteratively to find a discount rate that results in an NPV very close to zero. Ever tighter ranges are possible, but the accuracy is spurious and the calculation time would increase. Fortunately, Excel has a powerful built in IRR function - IRR(Cell containing Year 1 : Cell containing Year n). Note that, as for the NPV function, if you leave a period blank in Excel, it is assumed not included; if you enter a zero, it will be included.</a:t>
          </a:r>
        </a:p>
        <a:p>
          <a:pPr algn="l" rtl="0">
            <a:defRPr sz="1000"/>
          </a:pPr>
          <a:r>
            <a:rPr lang="en-US" sz="1600" b="0" i="0" u="none" strike="noStrike" baseline="0">
              <a:solidFill>
                <a:srgbClr val="0D0F11"/>
              </a:solidFill>
              <a:latin typeface="Arial"/>
              <a:cs typeface="Arial"/>
            </a:rPr>
            <a:t>IRR can be calculated on any period basis, then annualized to approximate one year, to ensure that every cash transaction gets full consideration.</a:t>
          </a:r>
        </a:p>
        <a:p>
          <a:pPr algn="l" rtl="0">
            <a:defRPr sz="1000"/>
          </a:pPr>
          <a:r>
            <a:rPr lang="en-US" sz="1600" b="0" i="0" u="none" strike="noStrike" baseline="0">
              <a:solidFill>
                <a:srgbClr val="0D0F11"/>
              </a:solidFill>
              <a:latin typeface="Arial"/>
              <a:cs typeface="Arial"/>
            </a:rPr>
            <a:t>IRR has the advantage of describing investment efficiency, but is not helpful in understanding an investment's size or timing.</a:t>
          </a:r>
        </a:p>
        <a:p>
          <a:pPr algn="l" rtl="0">
            <a:defRPr sz="1000"/>
          </a:pPr>
          <a:endParaRPr lang="en-US" sz="1600" b="0" i="0" u="none" strike="noStrike" baseline="0">
            <a:solidFill>
              <a:srgbClr val="0D0F11"/>
            </a:solidFill>
            <a:latin typeface="Arial"/>
            <a:cs typeface="Arial"/>
          </a:endParaRPr>
        </a:p>
        <a:p>
          <a:pPr algn="l" rtl="0">
            <a:defRPr sz="1000"/>
          </a:pPr>
          <a:endParaRPr lang="en-US" sz="1600" b="0" i="0" u="none" strike="noStrike" baseline="0">
            <a:solidFill>
              <a:srgbClr val="0D0F11"/>
            </a:solidFill>
            <a:latin typeface="Arial"/>
            <a:cs typeface="Arial"/>
          </a:endParaRPr>
        </a:p>
      </xdr:txBody>
    </xdr:sp>
    <xdr:clientData/>
  </xdr:twoCellAnchor>
  <xdr:twoCellAnchor>
    <xdr:from>
      <xdr:col>0</xdr:col>
      <xdr:colOff>0</xdr:colOff>
      <xdr:row>0</xdr:row>
      <xdr:rowOff>158750</xdr:rowOff>
    </xdr:from>
    <xdr:to>
      <xdr:col>4</xdr:col>
      <xdr:colOff>127000</xdr:colOff>
      <xdr:row>0</xdr:row>
      <xdr:rowOff>866636</xdr:rowOff>
    </xdr:to>
    <xdr:grpSp>
      <xdr:nvGrpSpPr>
        <xdr:cNvPr id="14" name="Group 13"/>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ROI Key Calculations</a:t>
            </a:r>
          </a:p>
        </xdr:txBody>
      </xdr:sp>
      <xdr:grpSp>
        <xdr:nvGrpSpPr>
          <xdr:cNvPr id="17" name="Group 16"/>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22" name="Left-Right Arrow 2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3" name="Group 22"/>
              <xdr:cNvGrpSpPr/>
            </xdr:nvGrpSpPr>
            <xdr:grpSpPr>
              <a:xfrm>
                <a:off x="1231900" y="3987800"/>
                <a:ext cx="4330700" cy="719667"/>
                <a:chOff x="1231900" y="3987800"/>
                <a:chExt cx="4330700" cy="863600"/>
              </a:xfrm>
            </xdr:grpSpPr>
            <xdr:sp macro="" textlink="">
              <xdr:nvSpPr>
                <xdr:cNvPr id="24" name="Left-Right Arrow 2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5" name="Straight Connector 2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6" name="Straight Connector 2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9" name="TextBox 1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0" name="TextBox 1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1" name="TextBox 2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428625</xdr:colOff>
      <xdr:row>1</xdr:row>
      <xdr:rowOff>0</xdr:rowOff>
    </xdr:from>
    <xdr:to>
      <xdr:col>15</xdr:col>
      <xdr:colOff>0</xdr:colOff>
      <xdr:row>42</xdr:row>
      <xdr:rowOff>158749</xdr:rowOff>
    </xdr:to>
    <xdr:sp macro="" textlink="">
      <xdr:nvSpPr>
        <xdr:cNvPr id="2" name="TextBox 1"/>
        <xdr:cNvSpPr txBox="1"/>
      </xdr:nvSpPr>
      <xdr:spPr>
        <a:xfrm>
          <a:off x="428625" y="1270000"/>
          <a:ext cx="7731125" cy="6667499"/>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Why create a business plan?</a:t>
          </a:r>
          <a:endParaRPr lang="en-US" sz="1800" b="0" i="0" u="none" strike="noStrike" baseline="0">
            <a:solidFill>
              <a:srgbClr val="0D0F11"/>
            </a:solidFill>
            <a:latin typeface="Arial"/>
            <a:cs typeface="Arial"/>
          </a:endParaRPr>
        </a:p>
        <a:p>
          <a:pPr algn="l" rtl="0">
            <a:spcAft>
              <a:spcPts val="1200"/>
            </a:spcAft>
            <a:defRPr sz="1000"/>
          </a:pPr>
          <a:r>
            <a:rPr lang="en-US" sz="1800" b="0" i="0" u="none" strike="noStrike" baseline="0">
              <a:solidFill>
                <a:srgbClr val="0D0F11"/>
              </a:solidFill>
              <a:latin typeface="Arial"/>
              <a:cs typeface="Arial"/>
            </a:rPr>
            <a:t>To start with, only the most naive investor will attempt to help an entrepreneurial team that cannot explain clearly what they intend to do with money.</a:t>
          </a:r>
        </a:p>
        <a:p>
          <a:pPr algn="l" rtl="0">
            <a:spcAft>
              <a:spcPts val="1200"/>
            </a:spcAft>
            <a:defRPr sz="1000"/>
          </a:pPr>
          <a:r>
            <a:rPr lang="en-US" sz="1800" b="0" i="0" u="none" strike="noStrike" baseline="0">
              <a:solidFill>
                <a:srgbClr val="0D0F11"/>
              </a:solidFill>
              <a:latin typeface="Arial"/>
              <a:cs typeface="Arial"/>
            </a:rPr>
            <a:t>Equally important, the entrepreneurial team itself needs to clarify its understanding of the nature and purpose of the business, and to iteratively improve the plan to ensure that the business' goals will be achieved.</a:t>
          </a:r>
          <a:endParaRPr lang="en-US" sz="2000" b="1" i="1" u="sng" strike="noStrike" baseline="0">
            <a:solidFill>
              <a:srgbClr val="0D0F11"/>
            </a:solidFill>
            <a:latin typeface="Arial"/>
            <a:cs typeface="Arial"/>
          </a:endParaRPr>
        </a:p>
        <a:p>
          <a:pPr algn="l" rtl="0">
            <a:spcAft>
              <a:spcPts val="1200"/>
            </a:spcAft>
            <a:defRPr sz="1000"/>
          </a:pPr>
          <a:r>
            <a:rPr lang="en-US" sz="2000" b="1" i="1" u="sng" strike="noStrike" baseline="0">
              <a:solidFill>
                <a:srgbClr val="0D0F11"/>
              </a:solidFill>
              <a:latin typeface="Arial"/>
              <a:cs typeface="Arial"/>
            </a:rPr>
            <a:t>What is in a successful plan?</a:t>
          </a:r>
          <a:endParaRPr lang="en-US" sz="1800" b="0" i="0" u="none" strike="noStrike" baseline="0">
            <a:solidFill>
              <a:srgbClr val="0D0F11"/>
            </a:solidFill>
            <a:latin typeface="Arial"/>
            <a:cs typeface="Arial"/>
          </a:endParaRPr>
        </a:p>
        <a:p>
          <a:pPr algn="l" rtl="0">
            <a:spcAft>
              <a:spcPts val="1200"/>
            </a:spcAft>
            <a:defRPr sz="1000"/>
          </a:pPr>
          <a:r>
            <a:rPr lang="en-US" sz="1800" b="0" i="0" u="none" strike="noStrike" baseline="0">
              <a:solidFill>
                <a:srgbClr val="0D0F11"/>
              </a:solidFill>
              <a:latin typeface="Arial"/>
              <a:cs typeface="Arial"/>
            </a:rPr>
            <a:t>To attract capital, a business plan must describe:</a:t>
          </a:r>
        </a:p>
        <a:p>
          <a:pPr marL="742950" lvl="1" indent="-285750" algn="l" rtl="0">
            <a:buFont typeface="Courier New"/>
            <a:buChar char="o"/>
            <a:defRPr sz="1000"/>
          </a:pPr>
          <a:r>
            <a:rPr lang="en-US" sz="1800" b="0" i="0" u="none" strike="noStrike" baseline="0">
              <a:solidFill>
                <a:srgbClr val="0D0F11"/>
              </a:solidFill>
              <a:latin typeface="Arial"/>
              <a:cs typeface="Arial"/>
            </a:rPr>
            <a:t>The business model, systems for management, and operating processes to be employed;</a:t>
          </a:r>
        </a:p>
        <a:p>
          <a:pPr marL="742950" lvl="1" indent="-285750" algn="l" rtl="0">
            <a:buFont typeface="Courier New"/>
            <a:buChar char="o"/>
            <a:defRPr sz="1000"/>
          </a:pPr>
          <a:r>
            <a:rPr lang="en-US" sz="1800" b="0" i="0" u="none" strike="noStrike" baseline="0">
              <a:solidFill>
                <a:srgbClr val="0D0F11"/>
              </a:solidFill>
              <a:latin typeface="Arial"/>
              <a:cs typeface="Arial"/>
            </a:rPr>
            <a:t>The team and additional staffing that will envision the business, manage it, and produce results;</a:t>
          </a:r>
        </a:p>
        <a:p>
          <a:pPr marL="742950" lvl="1" indent="-285750" algn="l" rtl="0">
            <a:spcAft>
              <a:spcPts val="1200"/>
            </a:spcAft>
            <a:buFont typeface="Courier New"/>
            <a:buChar char="o"/>
            <a:defRPr sz="1000"/>
          </a:pPr>
          <a:r>
            <a:rPr lang="en-US" sz="1800" b="0" i="0" u="none" strike="noStrike" baseline="0">
              <a:solidFill>
                <a:srgbClr val="0D0F11"/>
              </a:solidFill>
              <a:latin typeface="Arial"/>
              <a:cs typeface="Arial"/>
            </a:rPr>
            <a:t>Where funding will come from, how it will be applied, and the expected results on a credible timeline.</a:t>
          </a:r>
        </a:p>
        <a:p>
          <a:pPr algn="l" rtl="0">
            <a:spcAft>
              <a:spcPts val="1200"/>
            </a:spcAft>
            <a:defRPr sz="1000"/>
          </a:pPr>
          <a:r>
            <a:rPr lang="en-US" sz="1800" b="0" i="0" u="none" strike="noStrike" baseline="0">
              <a:solidFill>
                <a:srgbClr val="0D0F11"/>
              </a:solidFill>
              <a:latin typeface="Arial"/>
              <a:cs typeface="Arial"/>
            </a:rPr>
            <a:t>The look and feel of a business case depends on the targeted investor, sharp and complete for bankers and sophisticated investors, somewhat more relaxed for 'friends and family' angels. The outcome, however, will always benefit from too much rather than too little rigor.</a:t>
          </a:r>
        </a:p>
      </xdr:txBody>
    </xdr:sp>
    <xdr:clientData/>
  </xdr:twoCellAnchor>
  <xdr:twoCellAnchor>
    <xdr:from>
      <xdr:col>0</xdr:col>
      <xdr:colOff>0</xdr:colOff>
      <xdr:row>0</xdr:row>
      <xdr:rowOff>158750</xdr:rowOff>
    </xdr:from>
    <xdr:to>
      <xdr:col>24</xdr:col>
      <xdr:colOff>142875</xdr:colOff>
      <xdr:row>0</xdr:row>
      <xdr:rowOff>866636</xdr:rowOff>
    </xdr:to>
    <xdr:grpSp>
      <xdr:nvGrpSpPr>
        <xdr:cNvPr id="8" name="Group 7"/>
        <xdr:cNvGrpSpPr/>
      </xdr:nvGrpSpPr>
      <xdr:grpSpPr>
        <a:xfrm>
          <a:off x="0" y="158750"/>
          <a:ext cx="14303375" cy="707886"/>
          <a:chOff x="0" y="0"/>
          <a:chExt cx="14303375" cy="707886"/>
        </a:xfrm>
      </xdr:grpSpPr>
      <xdr:sp macro="" textlink="">
        <xdr:nvSpPr>
          <xdr:cNvPr id="10" name="TextBox 9"/>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Plan Concept</a:t>
            </a:r>
          </a:p>
        </xdr:txBody>
      </xdr:sp>
      <xdr:grpSp>
        <xdr:nvGrpSpPr>
          <xdr:cNvPr id="11" name="Group 10"/>
          <xdr:cNvGrpSpPr/>
        </xdr:nvGrpSpPr>
        <xdr:grpSpPr>
          <a:xfrm>
            <a:off x="10302875" y="0"/>
            <a:ext cx="4000500" cy="603250"/>
            <a:chOff x="1231900" y="2944298"/>
            <a:chExt cx="4330700" cy="719667"/>
          </a:xfrm>
        </xdr:grpSpPr>
        <xdr:grpSp>
          <xdr:nvGrpSpPr>
            <xdr:cNvPr id="12" name="Group 11"/>
            <xdr:cNvGrpSpPr/>
          </xdr:nvGrpSpPr>
          <xdr:grpSpPr>
            <a:xfrm>
              <a:off x="1231900" y="2944298"/>
              <a:ext cx="4330700" cy="719667"/>
              <a:chOff x="1231900" y="3987800"/>
              <a:chExt cx="4330700" cy="719667"/>
            </a:xfrm>
          </xdr:grpSpPr>
          <xdr:sp macro="" textlink="">
            <xdr:nvSpPr>
              <xdr:cNvPr id="16" name="Left-Right Arrow 1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7" name="Group 16"/>
              <xdr:cNvGrpSpPr/>
            </xdr:nvGrpSpPr>
            <xdr:grpSpPr>
              <a:xfrm>
                <a:off x="1231900" y="3987800"/>
                <a:ext cx="4330700" cy="719667"/>
                <a:chOff x="1231900" y="3987800"/>
                <a:chExt cx="4330700" cy="863600"/>
              </a:xfrm>
            </xdr:grpSpPr>
            <xdr:sp macro="" textlink="">
              <xdr:nvSpPr>
                <xdr:cNvPr id="18" name="Left-Right Arrow 1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9" name="Straight Connector 18"/>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0" name="Straight Connector 1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3" name="TextBox 12">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4" name="TextBox 13">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15" name="TextBox 14">
              <a:hlinkClick xmlns:r="http://schemas.openxmlformats.org/officeDocument/2006/relationships" r:id="rId2"/>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15874</xdr:rowOff>
    </xdr:from>
    <xdr:to>
      <xdr:col>6</xdr:col>
      <xdr:colOff>0</xdr:colOff>
      <xdr:row>65</xdr:row>
      <xdr:rowOff>63500</xdr:rowOff>
    </xdr:to>
    <xdr:sp macro="" textlink="">
      <xdr:nvSpPr>
        <xdr:cNvPr id="5" name="TextBox 4"/>
        <xdr:cNvSpPr txBox="1"/>
      </xdr:nvSpPr>
      <xdr:spPr>
        <a:xfrm>
          <a:off x="444500" y="1285874"/>
          <a:ext cx="11049000" cy="10207626"/>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2000" b="1" i="1" u="sng" strike="noStrike" baseline="0">
              <a:solidFill>
                <a:srgbClr val="0D0F11"/>
              </a:solidFill>
              <a:latin typeface="Arial"/>
              <a:cs typeface="Arial"/>
            </a:rPr>
            <a:t>The INVIOLABLE RULES for Building a Financially Successful Company</a:t>
          </a:r>
        </a:p>
        <a:p>
          <a:pPr marL="285750" indent="-285750" algn="l" rtl="0">
            <a:buFont typeface="Courier New"/>
            <a:buChar char="o"/>
            <a:defRPr sz="1000"/>
          </a:pPr>
          <a:r>
            <a:rPr lang="en-US" sz="1800" b="0" i="0" u="none" strike="noStrike" baseline="0">
              <a:solidFill>
                <a:srgbClr val="0D0F11"/>
              </a:solidFill>
              <a:latin typeface="Arial"/>
              <a:cs typeface="Arial"/>
            </a:rPr>
            <a:t>Keep the cost of goods sold (COGS) LESS THAN YOUR REVENUE. Your GROSS PROFIT (revenue minus COGS) needs to cover your overhead expenses and must provide a profit as well if you wish to stay in business.</a:t>
          </a:r>
        </a:p>
        <a:p>
          <a:pPr marL="285750" indent="-285750" algn="l" rtl="0">
            <a:buFont typeface="Courier New"/>
            <a:buChar char="o"/>
            <a:defRPr sz="1000"/>
          </a:pPr>
          <a:r>
            <a:rPr lang="en-US" sz="1800" b="0" i="0" u="none" strike="noStrike" baseline="0">
              <a:solidFill>
                <a:srgbClr val="0D0F11"/>
              </a:solidFill>
              <a:latin typeface="Arial"/>
              <a:cs typeface="Arial"/>
            </a:rPr>
            <a:t>Make sure your overhead costs are less than your gross profit. How much less? As much as possible while maintaining the business' operating health (marketing, production, etc.).</a:t>
          </a:r>
        </a:p>
        <a:p>
          <a:pPr marL="285750" indent="-285750" algn="l" rtl="0">
            <a:buFont typeface="Courier New"/>
            <a:buChar char="o"/>
            <a:defRPr sz="1000"/>
          </a:pPr>
          <a:r>
            <a:rPr lang="en-US" sz="1800" b="0" i="0" u="none" strike="noStrike" baseline="0">
              <a:solidFill>
                <a:srgbClr val="0D0F11"/>
              </a:solidFill>
              <a:latin typeface="Arial"/>
              <a:cs typeface="Arial"/>
            </a:rPr>
            <a:t>Use appropriate metrics and test regularly to ensure your targets are being met, especially that income is greater than your expenses, and that you are investing in assets that are improving your balance sheet. </a:t>
          </a:r>
        </a:p>
        <a:p>
          <a:pPr marL="285750" indent="-285750" algn="l" rtl="0">
            <a:buFont typeface="Courier New"/>
            <a:buChar char="o"/>
            <a:defRPr sz="1000"/>
          </a:pPr>
          <a:r>
            <a:rPr lang="en-US" sz="1800" b="0" i="0" u="none" strike="noStrike" baseline="0">
              <a:solidFill>
                <a:srgbClr val="0D0F11"/>
              </a:solidFill>
              <a:latin typeface="Arial"/>
              <a:cs typeface="Arial"/>
            </a:rPr>
            <a:t>Invest in things that pay you back, like better equipment and systems.</a:t>
          </a:r>
        </a:p>
        <a:p>
          <a:pPr marL="285750" indent="-285750" algn="l" rtl="0">
            <a:buFont typeface="Courier New"/>
            <a:buChar char="o"/>
            <a:defRPr sz="1000"/>
          </a:pPr>
          <a:r>
            <a:rPr lang="en-US" sz="1800" b="0" i="0" u="none" strike="noStrike" baseline="0">
              <a:solidFill>
                <a:srgbClr val="0D0F11"/>
              </a:solidFill>
              <a:latin typeface="Arial"/>
              <a:cs typeface="Arial"/>
            </a:rPr>
            <a:t>Don't buy cheap stuff that will require frequent repairs or replacement. </a:t>
          </a:r>
        </a:p>
        <a:p>
          <a:pPr marL="285750" indent="-285750" algn="l" rtl="0">
            <a:buFont typeface="Courier New"/>
            <a:buChar char="o"/>
            <a:defRPr sz="1000"/>
          </a:pPr>
          <a:r>
            <a:rPr lang="en-US" sz="1800" b="0" i="0" u="none" strike="noStrike" baseline="0">
              <a:solidFill>
                <a:srgbClr val="0D0F11"/>
              </a:solidFill>
              <a:latin typeface="Arial"/>
              <a:cs typeface="Arial"/>
            </a:rPr>
            <a:t>Never pay more than you should for anything, including money. Don't buy designer equipment unless you're a showroom. Don't buy designer water unless you work at a superfund site. </a:t>
          </a:r>
        </a:p>
        <a:p>
          <a:pPr marL="285750" indent="-285750" algn="l" rtl="0">
            <a:buFont typeface="Courier New"/>
            <a:buChar char="o"/>
            <a:defRPr sz="1000"/>
          </a:pPr>
          <a:r>
            <a:rPr lang="en-US" sz="1800" b="0" i="0" u="none" strike="noStrike" baseline="0">
              <a:solidFill>
                <a:srgbClr val="0D0F11"/>
              </a:solidFill>
              <a:latin typeface="Arial"/>
              <a:cs typeface="Arial"/>
            </a:rPr>
            <a:t>Buy low and sell high by doing your homework - about the building you work in, your equipment, and any stocks or bonds your company owns. In buying real estate and equipment, look for flaws you KNOW you can fix. </a:t>
          </a:r>
        </a:p>
        <a:p>
          <a:pPr marL="285750" indent="-285750" algn="l" rtl="0">
            <a:buFont typeface="Courier New"/>
            <a:buChar char="o"/>
            <a:defRPr sz="1000"/>
          </a:pPr>
          <a:r>
            <a:rPr lang="en-US" sz="1800" b="0" i="0" u="none" strike="noStrike" baseline="0">
              <a:solidFill>
                <a:srgbClr val="0D0F11"/>
              </a:solidFill>
              <a:latin typeface="Arial"/>
              <a:cs typeface="Arial"/>
            </a:rPr>
            <a:t>Avoid liabilities as much as possible, and develop a plan to reduce them faster than they can grow. Write the plan down, post it prominently, and follow it. </a:t>
          </a:r>
        </a:p>
        <a:p>
          <a:pPr marL="285750" indent="-285750" algn="l" rtl="0">
            <a:buFont typeface="Courier New"/>
            <a:buChar char="o"/>
            <a:defRPr sz="1000"/>
          </a:pPr>
          <a:r>
            <a:rPr lang="en-US" sz="1800" b="0" i="0" u="none" strike="noStrike" baseline="0">
              <a:solidFill>
                <a:srgbClr val="0D0F11"/>
              </a:solidFill>
              <a:latin typeface="Arial"/>
              <a:cs typeface="Arial"/>
            </a:rPr>
            <a:t>Minimize the debt you build and plan ahead to build financial strength. If you consolidate company debt, do it using a low-cost equity line or promotional rates. </a:t>
          </a:r>
        </a:p>
        <a:p>
          <a:pPr marL="285750" indent="-285750" algn="l" rtl="0">
            <a:buFont typeface="Courier New"/>
            <a:buChar char="o"/>
            <a:defRPr sz="1000"/>
          </a:pPr>
          <a:r>
            <a:rPr lang="en-US" sz="1800" b="0" i="0" u="none" strike="noStrike" baseline="0">
              <a:solidFill>
                <a:srgbClr val="0D0F11"/>
              </a:solidFill>
              <a:latin typeface="Arial"/>
              <a:cs typeface="Arial"/>
            </a:rPr>
            <a:t>Get Rich Quick schemes are generally designed to get their promoters rich quick. Avoid them like the plague.</a:t>
          </a:r>
        </a:p>
        <a:p>
          <a:pPr marL="285750" indent="-285750" algn="l" rtl="0">
            <a:buFont typeface="Courier New"/>
            <a:buChar char="o"/>
            <a:defRPr sz="1000"/>
          </a:pPr>
          <a:r>
            <a:rPr lang="en-US" sz="1800" b="0" i="0" u="none" strike="noStrike" baseline="0">
              <a:solidFill>
                <a:srgbClr val="0D0F11"/>
              </a:solidFill>
              <a:latin typeface="Arial"/>
              <a:cs typeface="Arial"/>
            </a:rPr>
            <a:t>Check the track records of properties, companies, or people, and never rely on an unfamiliar source with a "great opportunity."  </a:t>
          </a:r>
        </a:p>
        <a:p>
          <a:pPr marL="285750" indent="-285750" algn="l" rtl="0">
            <a:buFont typeface="Courier New"/>
            <a:buChar char="o"/>
            <a:defRPr sz="1000"/>
          </a:pPr>
          <a:r>
            <a:rPr lang="en-US" sz="1800" b="0" i="0" u="none" strike="noStrike" baseline="0">
              <a:solidFill>
                <a:srgbClr val="0D0F11"/>
              </a:solidFill>
              <a:latin typeface="Arial"/>
              <a:cs typeface="Arial"/>
            </a:rPr>
            <a:t>Nothing is more expensive than a bad partnership when it unravels, and it's not just money. While there's a lot of luck involved, learn to judge character early and run, don't walk, from questionable people or deals. Failure in this area provides some of life's most painful lessons. </a:t>
          </a:r>
        </a:p>
        <a:p>
          <a:pPr algn="l" rtl="0">
            <a:defRPr sz="1000"/>
          </a:pPr>
          <a:endParaRPr lang="en-US" sz="1800" b="0" i="0" u="none" strike="noStrike" baseline="0">
            <a:solidFill>
              <a:srgbClr val="0D0F11"/>
            </a:solidFill>
            <a:latin typeface="Arial"/>
            <a:cs typeface="Arial"/>
          </a:endParaRPr>
        </a:p>
        <a:p>
          <a:pPr algn="l" rtl="0">
            <a:defRPr sz="1000"/>
          </a:pPr>
          <a:r>
            <a:rPr lang="en-US" sz="2000" b="1" i="1" u="sng" strike="noStrike" baseline="0">
              <a:solidFill>
                <a:srgbClr val="0D0F11"/>
              </a:solidFill>
              <a:latin typeface="Arial"/>
              <a:cs typeface="Arial"/>
            </a:rPr>
            <a:t>It's straightforward, so why aren't all ventures successful? </a:t>
          </a:r>
        </a:p>
        <a:p>
          <a:pPr algn="l" rtl="0">
            <a:defRPr sz="1000"/>
          </a:pPr>
          <a:r>
            <a:rPr lang="en-US" sz="1800" b="0" i="0" u="none" strike="noStrike" baseline="0">
              <a:solidFill>
                <a:srgbClr val="0D0F11"/>
              </a:solidFill>
              <a:latin typeface="Arial"/>
              <a:cs typeface="Arial"/>
            </a:rPr>
            <a:t>Usually it's the business model (marketing the right products to the right customers) but too often even good ideas fail because...</a:t>
          </a:r>
        </a:p>
        <a:p>
          <a:pPr marL="285750" indent="-285750" algn="l" rtl="0">
            <a:buFont typeface="Courier New"/>
            <a:buChar char="o"/>
            <a:defRPr sz="1000"/>
          </a:pPr>
          <a:r>
            <a:rPr lang="en-US" sz="1800" b="0" i="0" u="none" strike="noStrike" baseline="0">
              <a:solidFill>
                <a:srgbClr val="0D0F11"/>
              </a:solidFill>
              <a:latin typeface="Arial"/>
              <a:cs typeface="Arial"/>
            </a:rPr>
            <a:t>Most people are ignorant of these simple financial basics.</a:t>
          </a:r>
        </a:p>
        <a:p>
          <a:pPr marL="285750" indent="-285750" algn="l" rtl="0">
            <a:buFont typeface="Courier New"/>
            <a:buChar char="o"/>
            <a:defRPr sz="1000"/>
          </a:pPr>
          <a:r>
            <a:rPr lang="en-US" sz="1800" b="0" i="0" u="none" strike="noStrike" baseline="0">
              <a:solidFill>
                <a:srgbClr val="0D0F11"/>
              </a:solidFill>
              <a:latin typeface="Arial"/>
              <a:cs typeface="Arial"/>
            </a:rPr>
            <a:t>Many people are too lazy or disorganized to provide even this tiny amount of focus.</a:t>
          </a:r>
        </a:p>
        <a:p>
          <a:pPr marL="285750" indent="-285750" algn="l" rtl="0">
            <a:buFont typeface="Courier New"/>
            <a:buChar char="o"/>
            <a:defRPr sz="1000"/>
          </a:pPr>
          <a:r>
            <a:rPr lang="en-US" sz="1800" b="0" i="0" u="none" strike="noStrike" baseline="0">
              <a:solidFill>
                <a:srgbClr val="0D0F11"/>
              </a:solidFill>
              <a:latin typeface="Arial"/>
              <a:cs typeface="Arial"/>
            </a:rPr>
            <a:t>Some people are too busy wrestling with problems they DO understand to work on the finances.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If this ISN'T you, live long and prosper!</a:t>
          </a: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0</xdr:col>
      <xdr:colOff>0</xdr:colOff>
      <xdr:row>0</xdr:row>
      <xdr:rowOff>158750</xdr:rowOff>
    </xdr:from>
    <xdr:to>
      <xdr:col>11</xdr:col>
      <xdr:colOff>269875</xdr:colOff>
      <xdr:row>0</xdr:row>
      <xdr:rowOff>866636</xdr:rowOff>
    </xdr:to>
    <xdr:grpSp>
      <xdr:nvGrpSpPr>
        <xdr:cNvPr id="8" name="Group 7"/>
        <xdr:cNvGrpSpPr/>
      </xdr:nvGrpSpPr>
      <xdr:grpSpPr>
        <a:xfrm>
          <a:off x="0" y="158750"/>
          <a:ext cx="14303375" cy="707886"/>
          <a:chOff x="0" y="0"/>
          <a:chExt cx="14303375" cy="707886"/>
        </a:xfrm>
      </xdr:grpSpPr>
      <xdr:sp macro="" textlink="">
        <xdr:nvSpPr>
          <xdr:cNvPr id="9" name="TextBox 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The Rules</a:t>
            </a:r>
          </a:p>
        </xdr:txBody>
      </xdr:sp>
      <xdr:grpSp>
        <xdr:nvGrpSpPr>
          <xdr:cNvPr id="10" name="Group 9"/>
          <xdr:cNvGrpSpPr/>
        </xdr:nvGrpSpPr>
        <xdr:grpSpPr>
          <a:xfrm>
            <a:off x="10302875" y="0"/>
            <a:ext cx="4000500" cy="603250"/>
            <a:chOff x="1231900" y="2944298"/>
            <a:chExt cx="4330700" cy="719667"/>
          </a:xfrm>
        </xdr:grpSpPr>
        <xdr:grpSp>
          <xdr:nvGrpSpPr>
            <xdr:cNvPr id="11" name="Group 10"/>
            <xdr:cNvGrpSpPr/>
          </xdr:nvGrpSpPr>
          <xdr:grpSpPr>
            <a:xfrm>
              <a:off x="1231900" y="2944298"/>
              <a:ext cx="4330700" cy="719667"/>
              <a:chOff x="1231900" y="3987800"/>
              <a:chExt cx="4330700" cy="719667"/>
            </a:xfrm>
          </xdr:grpSpPr>
          <xdr:sp macro="" textlink="">
            <xdr:nvSpPr>
              <xdr:cNvPr id="15" name="Left-Right Arrow 1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6" name="Group 15"/>
              <xdr:cNvGrpSpPr/>
            </xdr:nvGrpSpPr>
            <xdr:grpSpPr>
              <a:xfrm>
                <a:off x="1231900" y="3987800"/>
                <a:ext cx="4330700" cy="719667"/>
                <a:chOff x="1231900" y="3987800"/>
                <a:chExt cx="4330700" cy="863600"/>
              </a:xfrm>
            </xdr:grpSpPr>
            <xdr:sp macro="" textlink="">
              <xdr:nvSpPr>
                <xdr:cNvPr id="17" name="Left-Right Arrow 1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3" name="Straight Connector 2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2" name="TextBox 1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3" name="TextBox 1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4" name="TextBox 1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130175</xdr:rowOff>
    </xdr:from>
    <xdr:to>
      <xdr:col>6</xdr:col>
      <xdr:colOff>2671089</xdr:colOff>
      <xdr:row>25</xdr:row>
      <xdr:rowOff>138171</xdr:rowOff>
    </xdr:to>
    <xdr:grpSp>
      <xdr:nvGrpSpPr>
        <xdr:cNvPr id="26" name="Group 25"/>
        <xdr:cNvGrpSpPr/>
      </xdr:nvGrpSpPr>
      <xdr:grpSpPr>
        <a:xfrm>
          <a:off x="444500" y="1685925"/>
          <a:ext cx="11243589" cy="5183246"/>
          <a:chOff x="0" y="6432550"/>
          <a:chExt cx="11243589" cy="5119746"/>
        </a:xfrm>
        <a:effectLst>
          <a:outerShdw blurRad="50800" dist="38100" dir="2700000" algn="tl" rotWithShape="0">
            <a:prstClr val="black">
              <a:alpha val="40000"/>
            </a:prstClr>
          </a:outerShdw>
        </a:effectLst>
      </xdr:grpSpPr>
      <xdr:grpSp>
        <xdr:nvGrpSpPr>
          <xdr:cNvPr id="25" name="Group 24"/>
          <xdr:cNvGrpSpPr/>
        </xdr:nvGrpSpPr>
        <xdr:grpSpPr>
          <a:xfrm>
            <a:off x="0" y="6432550"/>
            <a:ext cx="3763609" cy="5119746"/>
            <a:chOff x="0" y="6432550"/>
            <a:chExt cx="3763609" cy="5119746"/>
          </a:xfrm>
        </xdr:grpSpPr>
        <xdr:sp macro="" textlink="">
          <xdr:nvSpPr>
            <xdr:cNvPr id="15" name="Text Box 1"/>
            <xdr:cNvSpPr txBox="1">
              <a:spLocks noChangeArrowheads="1"/>
            </xdr:cNvSpPr>
          </xdr:nvSpPr>
          <xdr:spPr bwMode="auto">
            <a:xfrm>
              <a:off x="0" y="6432550"/>
              <a:ext cx="3763609" cy="1915551"/>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l" rtl="0">
                <a:defRPr sz="1000"/>
              </a:pPr>
              <a:r>
                <a:rPr lang="en-US" sz="2000" b="1" i="1" u="sng" strike="noStrike" baseline="0">
                  <a:solidFill>
                    <a:srgbClr val="0D0F11"/>
                  </a:solidFill>
                  <a:latin typeface="Arial"/>
                  <a:cs typeface="Arial"/>
                </a:rPr>
                <a:t>Income</a:t>
              </a:r>
              <a:endParaRPr lang="en-US" sz="2000" b="0" i="0" u="none" strike="noStrike" baseline="0">
                <a:solidFill>
                  <a:srgbClr val="0D0F11"/>
                </a:solidFill>
                <a:latin typeface="Arial"/>
                <a:cs typeface="Arial"/>
              </a:endParaRPr>
            </a:p>
            <a:p>
              <a:pPr algn="l" rtl="0">
                <a:defRPr sz="1000"/>
              </a:pPr>
              <a:r>
                <a:rPr lang="en-US" sz="2000" b="0" i="0" u="none" strike="noStrike" baseline="0">
                  <a:solidFill>
                    <a:srgbClr val="0D0F11"/>
                  </a:solidFill>
                  <a:latin typeface="Arial"/>
                  <a:cs typeface="Arial"/>
                </a:rPr>
                <a:t>  -  Sales Revenue</a:t>
              </a:r>
            </a:p>
            <a:p>
              <a:pPr algn="l" rtl="0">
                <a:defRPr sz="1000"/>
              </a:pPr>
              <a:r>
                <a:rPr lang="en-US" sz="2000" b="0" i="0" u="none" strike="noStrike" baseline="0">
                  <a:solidFill>
                    <a:srgbClr val="0D0F11"/>
                  </a:solidFill>
                  <a:latin typeface="Arial"/>
                  <a:cs typeface="Arial"/>
                </a:rPr>
                <a:t>  -  Bank Interest</a:t>
              </a:r>
            </a:p>
            <a:p>
              <a:pPr algn="l" rtl="0">
                <a:defRPr sz="1000"/>
              </a:pPr>
              <a:r>
                <a:rPr lang="en-US" sz="2000" b="0" i="0" u="none" strike="noStrike" baseline="0">
                  <a:solidFill>
                    <a:srgbClr val="0D0F11"/>
                  </a:solidFill>
                  <a:latin typeface="Arial"/>
                  <a:cs typeface="Arial"/>
                </a:rPr>
                <a:t>  -  Stock Dividends</a:t>
              </a:r>
            </a:p>
            <a:p>
              <a:pPr algn="l" rtl="0">
                <a:defRPr sz="1000"/>
              </a:pPr>
              <a:r>
                <a:rPr lang="en-US" sz="2000" b="0" i="0" u="none" strike="noStrike" baseline="0">
                  <a:solidFill>
                    <a:srgbClr val="0D0F11"/>
                  </a:solidFill>
                  <a:latin typeface="Arial"/>
                  <a:cs typeface="Arial"/>
                </a:rPr>
                <a:t>  -  etc.</a:t>
              </a:r>
            </a:p>
          </xdr:txBody>
        </xdr:sp>
        <xdr:sp macro="" textlink="">
          <xdr:nvSpPr>
            <xdr:cNvPr id="16" name="Text Box 2"/>
            <xdr:cNvSpPr txBox="1">
              <a:spLocks noChangeArrowheads="1"/>
            </xdr:cNvSpPr>
          </xdr:nvSpPr>
          <xdr:spPr bwMode="auto">
            <a:xfrm>
              <a:off x="0" y="8348101"/>
              <a:ext cx="3763609" cy="3204195"/>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l" rtl="0">
                <a:defRPr sz="1000"/>
              </a:pPr>
              <a:r>
                <a:rPr lang="en-US" sz="2000" b="1" i="1" u="sng" strike="noStrike" baseline="0">
                  <a:solidFill>
                    <a:srgbClr val="0D0F11"/>
                  </a:solidFill>
                  <a:latin typeface="Arial"/>
                  <a:cs typeface="Arial"/>
                </a:rPr>
                <a:t>Direct Expenses</a:t>
              </a:r>
              <a:endParaRPr lang="en-US" sz="1800" b="0" i="0" u="none" strike="noStrike" baseline="0">
                <a:solidFill>
                  <a:srgbClr val="0D0F11"/>
                </a:solidFill>
                <a:latin typeface="Arial"/>
                <a:cs typeface="Arial"/>
              </a:endParaRPr>
            </a:p>
            <a:p>
              <a:pPr algn="l" rtl="0">
                <a:defRPr sz="1000"/>
              </a:pPr>
              <a:r>
                <a:rPr lang="en-US" sz="2000" b="0" i="0" u="none" strike="noStrike" baseline="0">
                  <a:solidFill>
                    <a:srgbClr val="0D0F11"/>
                  </a:solidFill>
                  <a:latin typeface="Arial"/>
                  <a:cs typeface="Arial"/>
                </a:rPr>
                <a:t>  -  Cost of Goods Sold</a:t>
              </a:r>
            </a:p>
            <a:p>
              <a:pPr algn="l" rtl="0">
                <a:defRPr sz="1000"/>
              </a:pPr>
              <a:endParaRPr lang="en-US" sz="2000" b="0" i="0" u="none" strike="noStrike" baseline="0">
                <a:solidFill>
                  <a:srgbClr val="0D0F11"/>
                </a:solidFill>
                <a:latin typeface="Arial"/>
                <a:cs typeface="Arial"/>
              </a:endParaRPr>
            </a:p>
            <a:p>
              <a:pPr algn="l" rtl="0">
                <a:defRPr sz="1000"/>
              </a:pPr>
              <a:r>
                <a:rPr lang="en-US" sz="2000" b="1" i="1" u="sng" strike="noStrike" baseline="0">
                  <a:solidFill>
                    <a:srgbClr val="0D0F11"/>
                  </a:solidFill>
                  <a:latin typeface="Arial"/>
                  <a:cs typeface="Arial"/>
                </a:rPr>
                <a:t>Overhead</a:t>
              </a:r>
            </a:p>
            <a:p>
              <a:pPr algn="l" rtl="0">
                <a:defRPr sz="1000"/>
              </a:pPr>
              <a:r>
                <a:rPr lang="en-US" sz="2000" b="0" i="0" u="none" strike="noStrike" baseline="0">
                  <a:solidFill>
                    <a:srgbClr val="0D0F11"/>
                  </a:solidFill>
                  <a:latin typeface="Arial"/>
                  <a:cs typeface="Arial"/>
                </a:rPr>
                <a:t>  -  Rent</a:t>
              </a:r>
            </a:p>
            <a:p>
              <a:pPr algn="l" rtl="0">
                <a:defRPr sz="1000"/>
              </a:pPr>
              <a:r>
                <a:rPr lang="en-US" sz="2000" b="0" i="0" u="none" strike="noStrike" baseline="0">
                  <a:solidFill>
                    <a:srgbClr val="0D0F11"/>
                  </a:solidFill>
                  <a:latin typeface="Arial"/>
                  <a:cs typeface="Arial"/>
                </a:rPr>
                <a:t>  -  Utilities</a:t>
              </a:r>
            </a:p>
            <a:p>
              <a:pPr algn="l" rtl="0">
                <a:defRPr sz="1000"/>
              </a:pPr>
              <a:r>
                <a:rPr lang="en-US" sz="2000" b="0" i="0" u="none" strike="noStrike" baseline="0">
                  <a:solidFill>
                    <a:srgbClr val="0D0F11"/>
                  </a:solidFill>
                  <a:latin typeface="Arial"/>
                  <a:cs typeface="Arial"/>
                </a:rPr>
                <a:t>  -  Equipment Maintenance</a:t>
              </a:r>
            </a:p>
            <a:p>
              <a:pPr algn="l" rtl="0">
                <a:defRPr sz="1000"/>
              </a:pPr>
              <a:r>
                <a:rPr lang="en-US" sz="2000" b="0" i="0" u="none" strike="noStrike" baseline="0">
                  <a:solidFill>
                    <a:srgbClr val="0D0F11"/>
                  </a:solidFill>
                  <a:latin typeface="Arial"/>
                  <a:cs typeface="Arial"/>
                </a:rPr>
                <a:t>  -  Taxes</a:t>
              </a:r>
            </a:p>
            <a:p>
              <a:pPr algn="l" rtl="0">
                <a:defRPr sz="1000"/>
              </a:pPr>
              <a:r>
                <a:rPr lang="en-US" sz="2000" b="0" i="0" u="none" strike="noStrike" baseline="0">
                  <a:solidFill>
                    <a:srgbClr val="0D0F11"/>
                  </a:solidFill>
                  <a:latin typeface="Arial"/>
                  <a:cs typeface="Arial"/>
                </a:rPr>
                <a:t>  -  etc.</a:t>
              </a:r>
            </a:p>
          </xdr:txBody>
        </xdr:sp>
      </xdr:grpSp>
      <xdr:grpSp>
        <xdr:nvGrpSpPr>
          <xdr:cNvPr id="4" name="Group 37"/>
          <xdr:cNvGrpSpPr>
            <a:grpSpLocks/>
          </xdr:cNvGrpSpPr>
        </xdr:nvGrpSpPr>
        <xdr:grpSpPr bwMode="auto">
          <a:xfrm>
            <a:off x="1558985" y="7059458"/>
            <a:ext cx="9684604" cy="4423181"/>
            <a:chOff x="119" y="176"/>
            <a:chExt cx="615" cy="254"/>
          </a:xfrm>
        </xdr:grpSpPr>
        <xdr:sp macro="" textlink="">
          <xdr:nvSpPr>
            <xdr:cNvPr id="5" name="AutoShape 7"/>
            <xdr:cNvSpPr>
              <a:spLocks noChangeArrowheads="1"/>
            </xdr:cNvSpPr>
          </xdr:nvSpPr>
          <xdr:spPr bwMode="auto">
            <a:xfrm>
              <a:off x="119" y="229"/>
              <a:ext cx="44" cy="34"/>
            </a:xfrm>
            <a:prstGeom prst="downArrow">
              <a:avLst>
                <a:gd name="adj1" fmla="val 50000"/>
                <a:gd name="adj2" fmla="val 84167"/>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6" name="AutoShape 12"/>
            <xdr:cNvSpPr>
              <a:spLocks noChangeArrowheads="1"/>
            </xdr:cNvSpPr>
          </xdr:nvSpPr>
          <xdr:spPr bwMode="auto">
            <a:xfrm>
              <a:off x="554" y="176"/>
              <a:ext cx="138" cy="27"/>
            </a:xfrm>
            <a:prstGeom prst="curvedDownArrow">
              <a:avLst>
                <a:gd name="adj1" fmla="val 102222"/>
                <a:gd name="adj2" fmla="val 204444"/>
                <a:gd name="adj3" fmla="val 3333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7" name="AutoShape 11"/>
            <xdr:cNvSpPr>
              <a:spLocks noChangeArrowheads="1"/>
            </xdr:cNvSpPr>
          </xdr:nvSpPr>
          <xdr:spPr bwMode="auto">
            <a:xfrm flipH="1">
              <a:off x="198" y="176"/>
              <a:ext cx="138" cy="27"/>
            </a:xfrm>
            <a:prstGeom prst="curvedDownArrow">
              <a:avLst>
                <a:gd name="adj1" fmla="val 102222"/>
                <a:gd name="adj2" fmla="val 204444"/>
                <a:gd name="adj3" fmla="val 3333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8" name="Text Box 13"/>
            <xdr:cNvSpPr txBox="1">
              <a:spLocks noChangeArrowheads="1"/>
            </xdr:cNvSpPr>
          </xdr:nvSpPr>
          <xdr:spPr bwMode="auto">
            <a:xfrm>
              <a:off x="624" y="203"/>
              <a:ext cx="110" cy="94"/>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ctr" rtl="0">
                <a:defRPr sz="1000"/>
              </a:pPr>
              <a:r>
                <a:rPr lang="en-US" sz="2400" b="1" i="1" u="none" strike="noStrike" baseline="0">
                  <a:solidFill>
                    <a:srgbClr val="0D0F11"/>
                  </a:solidFill>
                  <a:latin typeface="Arial"/>
                  <a:cs typeface="Arial"/>
                </a:rPr>
                <a:t>Your Lender's Wealth</a:t>
              </a:r>
            </a:p>
          </xdr:txBody>
        </xdr:sp>
        <xdr:grpSp>
          <xdr:nvGrpSpPr>
            <xdr:cNvPr id="9" name="Group 36"/>
            <xdr:cNvGrpSpPr>
              <a:grpSpLocks/>
            </xdr:cNvGrpSpPr>
          </xdr:nvGrpSpPr>
          <xdr:grpSpPr bwMode="auto">
            <a:xfrm>
              <a:off x="284" y="197"/>
              <a:ext cx="314" cy="233"/>
              <a:chOff x="284" y="197"/>
              <a:chExt cx="314" cy="233"/>
            </a:xfrm>
          </xdr:grpSpPr>
          <xdr:sp macro="" textlink="">
            <xdr:nvSpPr>
              <xdr:cNvPr id="11" name="Text Box 3"/>
              <xdr:cNvSpPr txBox="1">
                <a:spLocks noChangeArrowheads="1"/>
              </xdr:cNvSpPr>
            </xdr:nvSpPr>
            <xdr:spPr bwMode="auto">
              <a:xfrm>
                <a:off x="284" y="197"/>
                <a:ext cx="147" cy="233"/>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2000" b="1" i="1" u="sng" strike="noStrike" baseline="0">
                    <a:solidFill>
                      <a:srgbClr val="0D0F11"/>
                    </a:solidFill>
                    <a:latin typeface="Arial"/>
                    <a:cs typeface="Arial"/>
                  </a:rPr>
                  <a:t>Assets</a:t>
                </a:r>
                <a:endParaRPr lang="en-US" sz="2000" b="0" i="0" u="none" strike="noStrike" baseline="0">
                  <a:solidFill>
                    <a:srgbClr val="0D0F11"/>
                  </a:solidFill>
                  <a:latin typeface="Arial"/>
                  <a:cs typeface="Arial"/>
                </a:endParaRPr>
              </a:p>
              <a:p>
                <a:pPr algn="l" rtl="0">
                  <a:defRPr sz="1000"/>
                </a:pPr>
                <a:r>
                  <a:rPr lang="en-US" sz="2000" b="0" i="0" u="none" strike="noStrike" baseline="0">
                    <a:solidFill>
                      <a:srgbClr val="0D0F11"/>
                    </a:solidFill>
                    <a:latin typeface="Arial"/>
                    <a:cs typeface="Arial"/>
                  </a:rPr>
                  <a:t>  -  Cash</a:t>
                </a:r>
              </a:p>
              <a:p>
                <a:pPr algn="l" rtl="0">
                  <a:defRPr sz="1000"/>
                </a:pPr>
                <a:r>
                  <a:rPr lang="en-US" sz="2000" b="0" i="0" u="none" strike="noStrike" baseline="0">
                    <a:solidFill>
                      <a:srgbClr val="0D0F11"/>
                    </a:solidFill>
                    <a:latin typeface="Arial"/>
                    <a:cs typeface="Arial"/>
                  </a:rPr>
                  <a:t>  -  Real Estate</a:t>
                </a:r>
              </a:p>
              <a:p>
                <a:pPr algn="l" rtl="0">
                  <a:defRPr sz="1000"/>
                </a:pPr>
                <a:r>
                  <a:rPr lang="en-US" sz="2000" b="0" i="0" u="none" strike="noStrike" baseline="0">
                    <a:solidFill>
                      <a:srgbClr val="0D0F11"/>
                    </a:solidFill>
                    <a:latin typeface="Arial"/>
                    <a:cs typeface="Arial"/>
                  </a:rPr>
                  <a:t>  -  Equipment</a:t>
                </a:r>
              </a:p>
              <a:p>
                <a:pPr algn="l" rtl="0">
                  <a:defRPr sz="1000"/>
                </a:pPr>
                <a:r>
                  <a:rPr lang="en-US" sz="2000" b="0" i="0" u="none" strike="noStrike" baseline="0">
                    <a:solidFill>
                      <a:srgbClr val="0D0F11"/>
                    </a:solidFill>
                    <a:latin typeface="Arial"/>
                    <a:cs typeface="Arial"/>
                  </a:rPr>
                  <a:t>  -  etc.</a:t>
                </a:r>
              </a:p>
            </xdr:txBody>
          </xdr:sp>
          <xdr:sp macro="" textlink="">
            <xdr:nvSpPr>
              <xdr:cNvPr id="12" name="Text Box 4"/>
              <xdr:cNvSpPr txBox="1">
                <a:spLocks noChangeArrowheads="1"/>
              </xdr:cNvSpPr>
            </xdr:nvSpPr>
            <xdr:spPr bwMode="auto">
              <a:xfrm>
                <a:off x="429" y="197"/>
                <a:ext cx="169" cy="127"/>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2000" b="1" i="1" u="sng" strike="noStrike" baseline="0">
                    <a:solidFill>
                      <a:srgbClr val="0D0F11"/>
                    </a:solidFill>
                    <a:latin typeface="Arial"/>
                    <a:cs typeface="Arial"/>
                  </a:rPr>
                  <a:t>Liabilities</a:t>
                </a:r>
                <a:endParaRPr lang="en-US" sz="2000" b="0" i="0" u="none" strike="noStrike" baseline="0">
                  <a:solidFill>
                    <a:srgbClr val="0D0F11"/>
                  </a:solidFill>
                  <a:latin typeface="Arial"/>
                  <a:cs typeface="Arial"/>
                </a:endParaRPr>
              </a:p>
              <a:p>
                <a:pPr algn="l" rtl="0">
                  <a:lnSpc>
                    <a:spcPct val="100000"/>
                  </a:lnSpc>
                  <a:defRPr sz="1000"/>
                </a:pPr>
                <a:r>
                  <a:rPr lang="en-US" sz="2000" b="0" i="0" u="none" strike="noStrike" baseline="0">
                    <a:solidFill>
                      <a:srgbClr val="0D0F11"/>
                    </a:solidFill>
                    <a:latin typeface="Arial"/>
                    <a:cs typeface="Arial"/>
                  </a:rPr>
                  <a:t>  -  Accounts Payable</a:t>
                </a:r>
              </a:p>
              <a:p>
                <a:pPr algn="l" rtl="0">
                  <a:lnSpc>
                    <a:spcPct val="100000"/>
                  </a:lnSpc>
                  <a:defRPr sz="1000"/>
                </a:pPr>
                <a:r>
                  <a:rPr lang="en-US" sz="2000" b="0" i="0" u="none" strike="noStrike" baseline="0">
                    <a:solidFill>
                      <a:srgbClr val="0D0F11"/>
                    </a:solidFill>
                    <a:latin typeface="Arial"/>
                    <a:cs typeface="Arial"/>
                  </a:rPr>
                  <a:t>  -  Loan Payments</a:t>
                </a:r>
              </a:p>
              <a:p>
                <a:pPr algn="l" rtl="0">
                  <a:lnSpc>
                    <a:spcPct val="100000"/>
                  </a:lnSpc>
                  <a:defRPr sz="1000"/>
                </a:pPr>
                <a:r>
                  <a:rPr lang="en-US" sz="2000" b="0" i="0" u="none" strike="noStrike" baseline="0">
                    <a:solidFill>
                      <a:srgbClr val="0D0F11"/>
                    </a:solidFill>
                    <a:latin typeface="Arial"/>
                    <a:cs typeface="Arial"/>
                  </a:rPr>
                  <a:t>  -  etc.</a:t>
                </a:r>
              </a:p>
            </xdr:txBody>
          </xdr:sp>
          <xdr:sp macro="" textlink="">
            <xdr:nvSpPr>
              <xdr:cNvPr id="13" name="AutoShape 10"/>
              <xdr:cNvSpPr>
                <a:spLocks noChangeArrowheads="1"/>
              </xdr:cNvSpPr>
            </xdr:nvSpPr>
            <xdr:spPr bwMode="auto">
              <a:xfrm>
                <a:off x="488" y="256"/>
                <a:ext cx="58" cy="54"/>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142 w 21600"/>
                  <a:gd name="T25" fmla="*/ 3200 h 21600"/>
                  <a:gd name="T26" fmla="*/ 18458 w 21600"/>
                  <a:gd name="T27" fmla="*/ 184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401" y="15493"/>
                    </a:moveTo>
                    <a:cubicBezTo>
                      <a:pt x="18376" y="14122"/>
                      <a:pt x="18900" y="12482"/>
                      <a:pt x="18900" y="10800"/>
                    </a:cubicBezTo>
                    <a:cubicBezTo>
                      <a:pt x="18900" y="6326"/>
                      <a:pt x="15273" y="2700"/>
                      <a:pt x="10800" y="2700"/>
                    </a:cubicBezTo>
                    <a:cubicBezTo>
                      <a:pt x="9117" y="2699"/>
                      <a:pt x="7477" y="3223"/>
                      <a:pt x="6106" y="4198"/>
                    </a:cubicBezTo>
                    <a:lnTo>
                      <a:pt x="17401" y="15493"/>
                    </a:lnTo>
                    <a:close/>
                    <a:moveTo>
                      <a:pt x="4198" y="6106"/>
                    </a:moveTo>
                    <a:cubicBezTo>
                      <a:pt x="3223" y="7477"/>
                      <a:pt x="2700" y="9117"/>
                      <a:pt x="2700" y="10799"/>
                    </a:cubicBezTo>
                    <a:cubicBezTo>
                      <a:pt x="2700" y="15273"/>
                      <a:pt x="6326" y="18900"/>
                      <a:pt x="10800" y="18900"/>
                    </a:cubicBezTo>
                    <a:cubicBezTo>
                      <a:pt x="12482" y="18900"/>
                      <a:pt x="14122" y="18376"/>
                      <a:pt x="15493" y="17401"/>
                    </a:cubicBezTo>
                    <a:lnTo>
                      <a:pt x="4198" y="6106"/>
                    </a:lnTo>
                    <a:close/>
                  </a:path>
                </a:pathLst>
              </a:custGeom>
              <a:solidFill>
                <a:srgbClr val="FF3300"/>
              </a:solidFill>
              <a:ln w="12700" cmpd="sng">
                <a:solidFill>
                  <a:srgbClr val="000000"/>
                </a:solidFill>
                <a:miter lim="800000"/>
                <a:headEnd/>
                <a:tailEnd/>
              </a:ln>
            </xdr:spPr>
          </xdr:sp>
          <xdr:sp macro="" textlink="">
            <xdr:nvSpPr>
              <xdr:cNvPr id="14" name="Text Box 25"/>
              <xdr:cNvSpPr txBox="1">
                <a:spLocks noChangeArrowheads="1"/>
              </xdr:cNvSpPr>
            </xdr:nvSpPr>
            <xdr:spPr bwMode="auto">
              <a:xfrm>
                <a:off x="429" y="324"/>
                <a:ext cx="169" cy="106"/>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2000" b="1" i="1" u="sng" strike="noStrike" baseline="0">
                    <a:solidFill>
                      <a:srgbClr val="0D0F11"/>
                    </a:solidFill>
                    <a:latin typeface="Arial"/>
                    <a:cs typeface="Arial"/>
                  </a:rPr>
                  <a:t>Owner's Equity</a:t>
                </a:r>
                <a:endParaRPr lang="en-US" sz="2400" b="1" i="1" u="sng" strike="noStrike" baseline="0">
                  <a:solidFill>
                    <a:srgbClr val="0D0F11"/>
                  </a:solidFill>
                  <a:latin typeface="Arial"/>
                  <a:cs typeface="Arial"/>
                </a:endParaRPr>
              </a:p>
              <a:p>
                <a:pPr algn="l" rtl="0">
                  <a:lnSpc>
                    <a:spcPct val="100000"/>
                  </a:lnSpc>
                  <a:defRPr sz="1000"/>
                </a:pPr>
                <a:r>
                  <a:rPr lang="en-US" sz="2000" b="0" i="0" u="none" strike="noStrike" baseline="0">
                    <a:solidFill>
                      <a:srgbClr val="0D0F11"/>
                    </a:solidFill>
                    <a:latin typeface="Arial"/>
                    <a:cs typeface="Arial"/>
                  </a:rPr>
                  <a:t>This is equal to Assets minus Liabilities</a:t>
                </a:r>
              </a:p>
            </xdr:txBody>
          </xdr:sp>
        </xdr:grpSp>
        <xdr:sp macro="" textlink="">
          <xdr:nvSpPr>
            <xdr:cNvPr id="10" name="AutoShape 8"/>
            <xdr:cNvSpPr>
              <a:spLocks noChangeArrowheads="1"/>
            </xdr:cNvSpPr>
          </xdr:nvSpPr>
          <xdr:spPr bwMode="auto">
            <a:xfrm>
              <a:off x="222" y="302"/>
              <a:ext cx="110" cy="51"/>
            </a:xfrm>
            <a:prstGeom prst="rightArrow">
              <a:avLst>
                <a:gd name="adj1" fmla="val 50000"/>
                <a:gd name="adj2" fmla="val 7051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ctr" upright="1"/>
            <a:lstStyle/>
            <a:p>
              <a:pPr algn="ctr" rtl="0">
                <a:defRPr sz="1000"/>
              </a:pPr>
              <a:r>
                <a:rPr lang="en-US" sz="1400" b="1" i="0" u="none" strike="noStrike" baseline="0">
                  <a:solidFill>
                    <a:srgbClr val="0D0F11"/>
                  </a:solidFill>
                  <a:latin typeface="Arial"/>
                  <a:cs typeface="Arial"/>
                </a:rPr>
                <a:t>Excess</a:t>
              </a:r>
            </a:p>
          </xdr:txBody>
        </xdr:sp>
      </xdr:grpSp>
    </xdr:grpSp>
    <xdr:clientData/>
  </xdr:twoCellAnchor>
  <xdr:twoCellAnchor>
    <xdr:from>
      <xdr:col>1</xdr:col>
      <xdr:colOff>0</xdr:colOff>
      <xdr:row>26</xdr:row>
      <xdr:rowOff>185967</xdr:rowOff>
    </xdr:from>
    <xdr:to>
      <xdr:col>6</xdr:col>
      <xdr:colOff>2698750</xdr:colOff>
      <xdr:row>49</xdr:row>
      <xdr:rowOff>95250</xdr:rowOff>
    </xdr:to>
    <xdr:sp macro="" textlink="">
      <xdr:nvSpPr>
        <xdr:cNvPr id="20" name="TextBox 19"/>
        <xdr:cNvSpPr txBox="1"/>
      </xdr:nvSpPr>
      <xdr:spPr>
        <a:xfrm>
          <a:off x="0" y="7139217"/>
          <a:ext cx="11271250" cy="5021033"/>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400" b="1" i="1" u="sng" strike="noStrike" baseline="0">
              <a:solidFill>
                <a:srgbClr val="0D0F11"/>
              </a:solidFill>
              <a:latin typeface="Arial"/>
              <a:cs typeface="Arial"/>
            </a:rPr>
            <a:t>Financial Literacy</a:t>
          </a:r>
        </a:p>
        <a:p>
          <a:pPr algn="l" rtl="0">
            <a:spcAft>
              <a:spcPts val="1200"/>
            </a:spcAft>
            <a:defRPr sz="1000"/>
          </a:pPr>
          <a:r>
            <a:rPr lang="en-US" sz="1800" b="0" i="0" u="none" strike="noStrike" baseline="0">
              <a:solidFill>
                <a:srgbClr val="0D0F11"/>
              </a:solidFill>
              <a:latin typeface="Arial"/>
              <a:cs typeface="Arial"/>
            </a:rPr>
            <a:t>It's not difficult to be sufficiently financially literate. All you need to know for your new venture's money management is that your financial success has four determinants:</a:t>
          </a:r>
        </a:p>
        <a:p>
          <a:pPr marL="342900" indent="-342900" algn="l" rtl="0">
            <a:buFont typeface="+mj-lt"/>
            <a:buAutoNum type="arabicPeriod"/>
            <a:defRPr sz="1000"/>
          </a:pPr>
          <a:r>
            <a:rPr lang="en-US" sz="1800" b="0" i="0" u="none" strike="noStrike" baseline="0">
              <a:solidFill>
                <a:srgbClr val="0D0F11"/>
              </a:solidFill>
              <a:latin typeface="Arial"/>
              <a:cs typeface="Arial"/>
            </a:rPr>
            <a:t>How much money comes in</a:t>
          </a:r>
        </a:p>
        <a:p>
          <a:pPr marL="342900" indent="-342900" algn="l" rtl="0">
            <a:buFont typeface="+mj-lt"/>
            <a:buAutoNum type="arabicPeriod"/>
            <a:defRPr sz="1000"/>
          </a:pPr>
          <a:r>
            <a:rPr lang="en-US" sz="1800" b="0" i="0" u="none" strike="noStrike" baseline="0">
              <a:solidFill>
                <a:srgbClr val="0D0F11"/>
              </a:solidFill>
              <a:latin typeface="Arial"/>
              <a:cs typeface="Arial"/>
            </a:rPr>
            <a:t>How much goes out</a:t>
          </a:r>
        </a:p>
        <a:p>
          <a:pPr marL="342900" indent="-342900" algn="l" rtl="0">
            <a:buFont typeface="+mj-lt"/>
            <a:buAutoNum type="arabicPeriod"/>
            <a:defRPr sz="1000"/>
          </a:pPr>
          <a:r>
            <a:rPr lang="en-US" sz="1800" b="0" i="0" u="none" strike="noStrike" baseline="0">
              <a:solidFill>
                <a:srgbClr val="0D0F11"/>
              </a:solidFill>
              <a:latin typeface="Arial"/>
              <a:cs typeface="Arial"/>
            </a:rPr>
            <a:t>What you own</a:t>
          </a:r>
        </a:p>
        <a:p>
          <a:pPr marL="342900" indent="-342900" algn="l" rtl="0">
            <a:spcAft>
              <a:spcPts val="1200"/>
            </a:spcAft>
            <a:buFont typeface="+mj-lt"/>
            <a:buAutoNum type="arabicPeriod"/>
            <a:defRPr sz="1000"/>
          </a:pPr>
          <a:r>
            <a:rPr lang="en-US" sz="1800" b="0" i="0" u="none" strike="noStrike" baseline="0">
              <a:solidFill>
                <a:srgbClr val="0D0F11"/>
              </a:solidFill>
              <a:latin typeface="Arial"/>
              <a:cs typeface="Arial"/>
            </a:rPr>
            <a:t>What you owe</a:t>
          </a:r>
        </a:p>
        <a:p>
          <a:pPr algn="l" rtl="0">
            <a:spcAft>
              <a:spcPts val="1200"/>
            </a:spcAft>
            <a:defRPr sz="1000"/>
          </a:pPr>
          <a:r>
            <a:rPr lang="en-US" sz="1800" b="0" i="0" u="none" strike="noStrike" baseline="0">
              <a:solidFill>
                <a:srgbClr val="0D0F11"/>
              </a:solidFill>
              <a:latin typeface="Arial"/>
              <a:cs typeface="Arial"/>
            </a:rPr>
            <a:t>The schematic on this worksheet shows these four determinants in a very simple schematic of P&amp;L Statement, Balance Sheet, and arrows indicating Cash Flow. Review this sheet for a quick overview of how financial statements work.</a:t>
          </a:r>
        </a:p>
        <a:p>
          <a:pPr algn="l" rtl="0">
            <a:spcAft>
              <a:spcPts val="1200"/>
            </a:spcAft>
            <a:defRPr sz="1000"/>
          </a:pPr>
          <a:r>
            <a:rPr lang="en-US" sz="1800" b="0" i="0" u="none" strike="noStrike" baseline="0">
              <a:solidFill>
                <a:srgbClr val="0D0F11"/>
              </a:solidFill>
              <a:latin typeface="Arial"/>
              <a:cs typeface="Arial"/>
            </a:rPr>
            <a:t>Then use the Start-Up Financials Tool (in the following worksheets) to create a P&amp;L Statement, Balance Sheet, and Cash Flow plans in the standard forms used by sophisticated investors and bankers. Some sheets in this workbook contain dummy data, to demonstrate how data is entered. You should erase it all before entering your own.</a:t>
          </a:r>
        </a:p>
      </xdr:txBody>
    </xdr:sp>
    <xdr:clientData/>
  </xdr:twoCellAnchor>
  <xdr:twoCellAnchor>
    <xdr:from>
      <xdr:col>0</xdr:col>
      <xdr:colOff>0</xdr:colOff>
      <xdr:row>0</xdr:row>
      <xdr:rowOff>158750</xdr:rowOff>
    </xdr:from>
    <xdr:to>
      <xdr:col>6</xdr:col>
      <xdr:colOff>5286375</xdr:colOff>
      <xdr:row>0</xdr:row>
      <xdr:rowOff>866636</xdr:rowOff>
    </xdr:to>
    <xdr:grpSp>
      <xdr:nvGrpSpPr>
        <xdr:cNvPr id="34" name="Group 33"/>
        <xdr:cNvGrpSpPr/>
      </xdr:nvGrpSpPr>
      <xdr:grpSpPr>
        <a:xfrm>
          <a:off x="0" y="158750"/>
          <a:ext cx="14303375" cy="707886"/>
          <a:chOff x="0" y="0"/>
          <a:chExt cx="14303375" cy="707886"/>
        </a:xfrm>
      </xdr:grpSpPr>
      <xdr:sp macro="" textlink="">
        <xdr:nvSpPr>
          <xdr:cNvPr id="36" name="TextBox 3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Financial Statement Primer</a:t>
            </a:r>
          </a:p>
        </xdr:txBody>
      </xdr:sp>
      <xdr:grpSp>
        <xdr:nvGrpSpPr>
          <xdr:cNvPr id="37" name="Group 36"/>
          <xdr:cNvGrpSpPr/>
        </xdr:nvGrpSpPr>
        <xdr:grpSpPr>
          <a:xfrm>
            <a:off x="10302875" y="0"/>
            <a:ext cx="4000500" cy="603250"/>
            <a:chOff x="1231900" y="2944298"/>
            <a:chExt cx="4330700" cy="719667"/>
          </a:xfrm>
        </xdr:grpSpPr>
        <xdr:grpSp>
          <xdr:nvGrpSpPr>
            <xdr:cNvPr id="38" name="Group 37"/>
            <xdr:cNvGrpSpPr/>
          </xdr:nvGrpSpPr>
          <xdr:grpSpPr>
            <a:xfrm>
              <a:off x="1231900" y="2944298"/>
              <a:ext cx="4330700" cy="719667"/>
              <a:chOff x="1231900" y="3987800"/>
              <a:chExt cx="4330700" cy="719667"/>
            </a:xfrm>
          </xdr:grpSpPr>
          <xdr:sp macro="" textlink="">
            <xdr:nvSpPr>
              <xdr:cNvPr id="42" name="Left-Right Arrow 4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3" name="Group 42"/>
              <xdr:cNvGrpSpPr/>
            </xdr:nvGrpSpPr>
            <xdr:grpSpPr>
              <a:xfrm>
                <a:off x="1231900" y="3987800"/>
                <a:ext cx="4330700" cy="719667"/>
                <a:chOff x="1231900" y="3987800"/>
                <a:chExt cx="4330700" cy="863600"/>
              </a:xfrm>
            </xdr:grpSpPr>
            <xdr:sp macro="" textlink="">
              <xdr:nvSpPr>
                <xdr:cNvPr id="44" name="Left-Right Arrow 4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5" name="Straight Connector 4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6" name="Straight Connector 4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9" name="TextBox 3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0" name="TextBox 3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1" name="TextBox 4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4</xdr:row>
      <xdr:rowOff>31750</xdr:rowOff>
    </xdr:from>
    <xdr:to>
      <xdr:col>21</xdr:col>
      <xdr:colOff>15875</xdr:colOff>
      <xdr:row>12</xdr:row>
      <xdr:rowOff>47625</xdr:rowOff>
    </xdr:to>
    <xdr:sp macro="" textlink="">
      <xdr:nvSpPr>
        <xdr:cNvPr id="15" name="Text Box 1"/>
        <xdr:cNvSpPr txBox="1">
          <a:spLocks noChangeArrowheads="1"/>
        </xdr:cNvSpPr>
      </xdr:nvSpPr>
      <xdr:spPr bwMode="auto">
        <a:xfrm flipH="1">
          <a:off x="12747625" y="1746250"/>
          <a:ext cx="4873625" cy="1793875"/>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1800" b="1" i="1" u="sng" strike="noStrike" baseline="0">
              <a:solidFill>
                <a:srgbClr val="0D0F11"/>
              </a:solidFill>
              <a:latin typeface="Arial"/>
              <a:cs typeface="Arial"/>
            </a:rPr>
            <a:t>Dividends</a:t>
          </a: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Every time you pay a dividend your cash is reduced by that amount. Make sure you don't need it for working capital or a good investment opportunity before you let it go.</a:t>
          </a:r>
        </a:p>
      </xdr:txBody>
    </xdr:sp>
    <xdr:clientData/>
  </xdr:twoCellAnchor>
  <xdr:twoCellAnchor>
    <xdr:from>
      <xdr:col>2</xdr:col>
      <xdr:colOff>0</xdr:colOff>
      <xdr:row>4</xdr:row>
      <xdr:rowOff>1</xdr:rowOff>
    </xdr:from>
    <xdr:to>
      <xdr:col>6</xdr:col>
      <xdr:colOff>920750</xdr:colOff>
      <xdr:row>11</xdr:row>
      <xdr:rowOff>1</xdr:rowOff>
    </xdr:to>
    <xdr:sp macro="" textlink="">
      <xdr:nvSpPr>
        <xdr:cNvPr id="8" name="Text Box 13"/>
        <xdr:cNvSpPr txBox="1">
          <a:spLocks noChangeArrowheads="1"/>
        </xdr:cNvSpPr>
      </xdr:nvSpPr>
      <xdr:spPr bwMode="auto">
        <a:xfrm>
          <a:off x="1301750" y="1714501"/>
          <a:ext cx="4794250" cy="1555750"/>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Investor Cash</a:t>
          </a:r>
        </a:p>
        <a:p>
          <a:pPr marL="0" indent="0" algn="l" rtl="0">
            <a:lnSpc>
              <a:spcPct val="100000"/>
            </a:lnSpc>
            <a:defRPr sz="1000"/>
          </a:pPr>
          <a:r>
            <a:rPr lang="en-US" sz="1800" b="0" i="0" u="none" strike="noStrike" baseline="0">
              <a:solidFill>
                <a:srgbClr val="0D0F11"/>
              </a:solidFill>
              <a:latin typeface="Arial"/>
              <a:ea typeface="+mn-ea"/>
              <a:cs typeface="Arial"/>
            </a:rPr>
            <a:t>You get cash by selling stock, usually when you start or expand the business. The investment needs to offer a return greater than bank interest because it involves risk.</a:t>
          </a:r>
        </a:p>
      </xdr:txBody>
    </xdr:sp>
    <xdr:clientData/>
  </xdr:twoCellAnchor>
  <xdr:twoCellAnchor>
    <xdr:from>
      <xdr:col>2</xdr:col>
      <xdr:colOff>0</xdr:colOff>
      <xdr:row>12</xdr:row>
      <xdr:rowOff>47625</xdr:rowOff>
    </xdr:from>
    <xdr:to>
      <xdr:col>7</xdr:col>
      <xdr:colOff>0</xdr:colOff>
      <xdr:row>24</xdr:row>
      <xdr:rowOff>63500</xdr:rowOff>
    </xdr:to>
    <xdr:sp macro="" textlink="">
      <xdr:nvSpPr>
        <xdr:cNvPr id="11" name="Text Box 3"/>
        <xdr:cNvSpPr txBox="1">
          <a:spLocks noChangeArrowheads="1"/>
        </xdr:cNvSpPr>
      </xdr:nvSpPr>
      <xdr:spPr bwMode="auto">
        <a:xfrm>
          <a:off x="1301750" y="3540125"/>
          <a:ext cx="4841875" cy="2682875"/>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1800" b="1" i="1" u="sng" strike="noStrike" baseline="0">
              <a:solidFill>
                <a:srgbClr val="0D0F11"/>
              </a:solidFill>
              <a:latin typeface="Arial"/>
              <a:cs typeface="Arial"/>
            </a:rPr>
            <a:t>Bank Borrowing</a:t>
          </a: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This is where you get long-term cash to pay for buildings, machinery, and equipment. </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In separate loans with different terms  you also get cash to keep the wheels turning - your working capital. You use it to pay for inventories, receivables, and ongoing operating expenses. </a:t>
          </a:r>
        </a:p>
      </xdr:txBody>
    </xdr:sp>
    <xdr:clientData/>
  </xdr:twoCellAnchor>
  <xdr:twoCellAnchor>
    <xdr:from>
      <xdr:col>2</xdr:col>
      <xdr:colOff>1</xdr:colOff>
      <xdr:row>25</xdr:row>
      <xdr:rowOff>127000</xdr:rowOff>
    </xdr:from>
    <xdr:to>
      <xdr:col>7</xdr:col>
      <xdr:colOff>0</xdr:colOff>
      <xdr:row>40</xdr:row>
      <xdr:rowOff>79375</xdr:rowOff>
    </xdr:to>
    <xdr:sp macro="" textlink="">
      <xdr:nvSpPr>
        <xdr:cNvPr id="12" name="Text Box 4"/>
        <xdr:cNvSpPr txBox="1">
          <a:spLocks noChangeArrowheads="1"/>
        </xdr:cNvSpPr>
      </xdr:nvSpPr>
      <xdr:spPr bwMode="auto">
        <a:xfrm>
          <a:off x="1301751" y="6508750"/>
          <a:ext cx="4841874" cy="3349625"/>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1800" b="1" i="1" u="sng" strike="noStrike" baseline="0">
              <a:solidFill>
                <a:srgbClr val="0D0F11"/>
              </a:solidFill>
              <a:latin typeface="Arial"/>
              <a:cs typeface="Arial"/>
            </a:rPr>
            <a:t>Accounts Payable</a:t>
          </a:r>
          <a:endParaRPr lang="en-US" sz="1800" b="0" i="0" u="none" strike="noStrike" baseline="0">
            <a:solidFill>
              <a:srgbClr val="0D0F11"/>
            </a:solidFill>
            <a:latin typeface="Arial"/>
            <a:cs typeface="Arial"/>
          </a:endParaRPr>
        </a:p>
        <a:p>
          <a:pPr algn="l" rtl="0">
            <a:lnSpc>
              <a:spcPct val="100000"/>
            </a:lnSpc>
            <a:defRPr sz="1000"/>
          </a:pPr>
          <a:r>
            <a:rPr lang="en-US" sz="1800" b="0" i="0" u="none" strike="noStrike" baseline="0">
              <a:solidFill>
                <a:srgbClr val="0D0F11"/>
              </a:solidFill>
              <a:latin typeface="Arial"/>
              <a:cs typeface="Arial"/>
            </a:rPr>
            <a:t>This is like borrowing money from your suppliers, and helps to finance your inventories and your receivables.</a:t>
          </a:r>
        </a:p>
        <a:p>
          <a:pPr algn="l" rtl="0">
            <a:lnSpc>
              <a:spcPct val="100000"/>
            </a:lnSpc>
            <a:defRPr sz="1000"/>
          </a:pPr>
          <a:endParaRPr lang="en-US" sz="1800" b="0" i="0" u="none" strike="noStrike" baseline="0">
            <a:solidFill>
              <a:srgbClr val="0D0F11"/>
            </a:solidFill>
            <a:latin typeface="Arial"/>
            <a:cs typeface="Arial"/>
          </a:endParaRPr>
        </a:p>
        <a:p>
          <a:pPr algn="l" rtl="0">
            <a:lnSpc>
              <a:spcPct val="100000"/>
            </a:lnSpc>
            <a:defRPr sz="1000"/>
          </a:pPr>
          <a:r>
            <a:rPr lang="en-US" sz="1800" b="0" i="0" u="none" strike="noStrike" baseline="0">
              <a:solidFill>
                <a:srgbClr val="0D0F11"/>
              </a:solidFill>
              <a:latin typeface="Arial"/>
              <a:cs typeface="Arial"/>
            </a:rPr>
            <a:t>In tough times you could stretch the payables, using suppliers like a bank as inventories and / or receivables build up. The danger is that suppliers will shut you off and your business will dry up. Ethical buyers are committed to honoring supplier terms.</a:t>
          </a:r>
        </a:p>
      </xdr:txBody>
    </xdr:sp>
    <xdr:clientData/>
  </xdr:twoCellAnchor>
  <xdr:twoCellAnchor>
    <xdr:from>
      <xdr:col>10</xdr:col>
      <xdr:colOff>31750</xdr:colOff>
      <xdr:row>16</xdr:row>
      <xdr:rowOff>95250</xdr:rowOff>
    </xdr:from>
    <xdr:to>
      <xdr:col>15</xdr:col>
      <xdr:colOff>0</xdr:colOff>
      <xdr:row>34</xdr:row>
      <xdr:rowOff>31750</xdr:rowOff>
    </xdr:to>
    <xdr:sp macro="" textlink="">
      <xdr:nvSpPr>
        <xdr:cNvPr id="14" name="Text Box 25"/>
        <xdr:cNvSpPr txBox="1">
          <a:spLocks noChangeArrowheads="1"/>
        </xdr:cNvSpPr>
      </xdr:nvSpPr>
      <xdr:spPr bwMode="auto">
        <a:xfrm>
          <a:off x="6905625" y="4746625"/>
          <a:ext cx="4841875" cy="3937000"/>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1800" b="1" i="1" u="sng" strike="noStrike" baseline="0">
              <a:solidFill>
                <a:srgbClr val="0D0F11"/>
              </a:solidFill>
              <a:latin typeface="Arial"/>
              <a:cs typeface="Arial"/>
            </a:rPr>
            <a:t>Accounts Receivable</a:t>
          </a:r>
          <a:endParaRPr lang="en-US" sz="2000" b="1" i="1" u="sng" strike="noStrike" baseline="0">
            <a:solidFill>
              <a:srgbClr val="0D0F11"/>
            </a:solidFill>
            <a:latin typeface="Arial"/>
            <a:cs typeface="Arial"/>
          </a:endParaRPr>
        </a:p>
        <a:p>
          <a:pPr algn="l" rtl="0">
            <a:lnSpc>
              <a:spcPct val="100000"/>
            </a:lnSpc>
            <a:defRPr sz="1000"/>
          </a:pPr>
          <a:r>
            <a:rPr lang="en-US" sz="1800" b="0" i="0" u="none" strike="noStrike" baseline="0">
              <a:solidFill>
                <a:srgbClr val="0D0F11"/>
              </a:solidFill>
              <a:latin typeface="Arial"/>
              <a:cs typeface="Arial"/>
            </a:rPr>
            <a:t>Every time you sell something on credit you lock up cash, equal to the amount you paid for that item, until you collect from the buyer. If that takes a long time, the amount of inaccessable cash builds up as the receivables increase. You have to keep getting more cash and you have to pay interest on it.</a:t>
          </a:r>
        </a:p>
        <a:p>
          <a:pPr algn="l" rtl="0">
            <a:lnSpc>
              <a:spcPct val="100000"/>
            </a:lnSpc>
            <a:defRPr sz="1000"/>
          </a:pPr>
          <a:endParaRPr lang="en-US" sz="1800" b="0" i="0" u="none" strike="noStrike" baseline="0">
            <a:solidFill>
              <a:srgbClr val="0D0F11"/>
            </a:solidFill>
            <a:latin typeface="Arial"/>
            <a:cs typeface="Arial"/>
          </a:endParaRPr>
        </a:p>
        <a:p>
          <a:pPr algn="l" rtl="0">
            <a:lnSpc>
              <a:spcPct val="100000"/>
            </a:lnSpc>
            <a:defRPr sz="1000"/>
          </a:pPr>
          <a:r>
            <a:rPr lang="en-US" sz="1800" b="0" i="0" u="none" strike="noStrike" baseline="0">
              <a:solidFill>
                <a:srgbClr val="0D0F11"/>
              </a:solidFill>
              <a:latin typeface="Arial"/>
              <a:cs typeface="Arial"/>
            </a:rPr>
            <a:t>In tough times your buyers might stretch their payments, leaving you scrambling for cash (see Accounts Payable box).</a:t>
          </a:r>
        </a:p>
      </xdr:txBody>
    </xdr:sp>
    <xdr:clientData/>
  </xdr:twoCellAnchor>
  <xdr:twoCellAnchor>
    <xdr:from>
      <xdr:col>15</xdr:col>
      <xdr:colOff>333374</xdr:colOff>
      <xdr:row>23</xdr:row>
      <xdr:rowOff>0</xdr:rowOff>
    </xdr:from>
    <xdr:to>
      <xdr:col>22</xdr:col>
      <xdr:colOff>984249</xdr:colOff>
      <xdr:row>44</xdr:row>
      <xdr:rowOff>0</xdr:rowOff>
    </xdr:to>
    <xdr:sp macro="" textlink="">
      <xdr:nvSpPr>
        <xdr:cNvPr id="17" name="TextBox 16"/>
        <xdr:cNvSpPr txBox="1"/>
      </xdr:nvSpPr>
      <xdr:spPr>
        <a:xfrm>
          <a:off x="12080874" y="6207125"/>
          <a:ext cx="6175375" cy="4667250"/>
        </a:xfrm>
        <a:prstGeom prst="rect">
          <a:avLst/>
        </a:prstGeom>
        <a:solidFill>
          <a:sysClr val="window" lastClr="FFFFFF"/>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1" i="1" u="sng" strike="noStrike" baseline="0">
              <a:solidFill>
                <a:srgbClr val="0D0F11"/>
              </a:solidFill>
              <a:latin typeface="Arial"/>
              <a:cs typeface="Arial"/>
            </a:rPr>
            <a:t>Working Capital and the Cash Cycle</a:t>
          </a:r>
        </a:p>
        <a:p>
          <a:pPr algn="l" rtl="0">
            <a:defRPr sz="1000"/>
          </a:pPr>
          <a:r>
            <a:rPr lang="en-US" sz="1800" b="0" i="0" u="none" strike="noStrike" baseline="0">
              <a:solidFill>
                <a:srgbClr val="0D0F11"/>
              </a:solidFill>
              <a:latin typeface="Arial"/>
              <a:cs typeface="Arial"/>
            </a:rPr>
            <a:t>Working capital is equal to cash in the bank plus Accounts Payable ('borrowed' from suppliers) minus the amount of capital tied up in inventories and Accounts Receivable. </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Working capital cycles regularly: money from banks and suppliers is invested into inventory, the inventory is shipped to customers who then owe receivables, and the cash received when customers pay the amounts they owe is paid back to suppliers and banks. These events are closely tracked to ensure cash is optimized: payables are usually 'borrowed' for 30 to 60 days, the amount of time products sit in inventory varies by industry (typically 30 to 60 days), and receivables are usually 'lent' for 30 to 60 days.</a:t>
          </a:r>
        </a:p>
      </xdr:txBody>
    </xdr:sp>
    <xdr:clientData/>
  </xdr:twoCellAnchor>
  <xdr:twoCellAnchor>
    <xdr:from>
      <xdr:col>10</xdr:col>
      <xdr:colOff>0</xdr:colOff>
      <xdr:row>4</xdr:row>
      <xdr:rowOff>0</xdr:rowOff>
    </xdr:from>
    <xdr:to>
      <xdr:col>15</xdr:col>
      <xdr:colOff>0</xdr:colOff>
      <xdr:row>15</xdr:row>
      <xdr:rowOff>0</xdr:rowOff>
    </xdr:to>
    <xdr:sp macro="" textlink="">
      <xdr:nvSpPr>
        <xdr:cNvPr id="25" name="Text Box 1"/>
        <xdr:cNvSpPr txBox="1">
          <a:spLocks noChangeArrowheads="1"/>
        </xdr:cNvSpPr>
      </xdr:nvSpPr>
      <xdr:spPr bwMode="auto">
        <a:xfrm>
          <a:off x="6873875" y="1984375"/>
          <a:ext cx="4873625" cy="2444750"/>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1800" b="1" i="1" u="sng" strike="noStrike" baseline="0">
              <a:solidFill>
                <a:srgbClr val="0D0F11"/>
              </a:solidFill>
              <a:latin typeface="Arial"/>
              <a:cs typeface="Arial"/>
            </a:rPr>
            <a:t>Inventory</a:t>
          </a: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When you put items in inventory you lock up cash until you sell it. If it is selling slowly and you don't slow your production rates, the amount of inventory builds up.You have to keep getting more cash and you have to pay interest on it. You must keep enough for sales, and no more.</a:t>
          </a: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16</xdr:col>
      <xdr:colOff>0</xdr:colOff>
      <xdr:row>13</xdr:row>
      <xdr:rowOff>111125</xdr:rowOff>
    </xdr:from>
    <xdr:to>
      <xdr:col>21</xdr:col>
      <xdr:colOff>19048</xdr:colOff>
      <xdr:row>21</xdr:row>
      <xdr:rowOff>0</xdr:rowOff>
    </xdr:to>
    <xdr:sp macro="" textlink="">
      <xdr:nvSpPr>
        <xdr:cNvPr id="26" name="Text Box 13"/>
        <xdr:cNvSpPr txBox="1">
          <a:spLocks noChangeArrowheads="1"/>
        </xdr:cNvSpPr>
      </xdr:nvSpPr>
      <xdr:spPr bwMode="auto">
        <a:xfrm flipH="1">
          <a:off x="12747625" y="3825875"/>
          <a:ext cx="4876798" cy="1666875"/>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Stock Buy Back</a:t>
          </a:r>
        </a:p>
        <a:p>
          <a:pPr marL="0" indent="0" algn="l" rtl="0">
            <a:lnSpc>
              <a:spcPct val="100000"/>
            </a:lnSpc>
            <a:defRPr sz="1000"/>
          </a:pPr>
          <a:r>
            <a:rPr lang="en-US" sz="1800" b="0" i="0" u="none" strike="noStrike" baseline="0">
              <a:solidFill>
                <a:srgbClr val="0D0F11"/>
              </a:solidFill>
              <a:latin typeface="Arial"/>
              <a:ea typeface="+mn-ea"/>
              <a:cs typeface="Arial"/>
            </a:rPr>
            <a:t>When you have a lot of excess cash, and if your stock is a good value, you can buy your own stock, increasing the value of each share (good for stockholders).</a:t>
          </a:r>
        </a:p>
      </xdr:txBody>
    </xdr:sp>
    <xdr:clientData/>
  </xdr:twoCellAnchor>
  <xdr:twoCellAnchor>
    <xdr:from>
      <xdr:col>6</xdr:col>
      <xdr:colOff>555625</xdr:colOff>
      <xdr:row>0</xdr:row>
      <xdr:rowOff>984250</xdr:rowOff>
    </xdr:from>
    <xdr:to>
      <xdr:col>10</xdr:col>
      <xdr:colOff>792006</xdr:colOff>
      <xdr:row>1</xdr:row>
      <xdr:rowOff>190262</xdr:rowOff>
    </xdr:to>
    <xdr:sp macro="" textlink="">
      <xdr:nvSpPr>
        <xdr:cNvPr id="16" name="AutoShape 12"/>
        <xdr:cNvSpPr>
          <a:spLocks noChangeArrowheads="1"/>
        </xdr:cNvSpPr>
      </xdr:nvSpPr>
      <xdr:spPr bwMode="auto">
        <a:xfrm>
          <a:off x="5492750" y="984250"/>
          <a:ext cx="2173131" cy="476012"/>
        </a:xfrm>
        <a:prstGeom prst="curvedDownArrow">
          <a:avLst>
            <a:gd name="adj1" fmla="val 102222"/>
            <a:gd name="adj2" fmla="val 204444"/>
            <a:gd name="adj3" fmla="val 33333"/>
          </a:avLst>
        </a:prstGeom>
        <a:solidFill>
          <a:srgbClr val="F4F2C4"/>
        </a:solidFill>
        <a:ln w="9525">
          <a:solidFill>
            <a:srgbClr val="000000"/>
          </a:solidFill>
          <a:miter lim="800000"/>
          <a:headEnd/>
          <a:tailEnd/>
        </a:ln>
        <a:effectLst>
          <a:outerShdw dist="107763" dir="2700000" algn="ctr" rotWithShape="0">
            <a:srgbClr val="808080">
              <a:alpha val="50000"/>
            </a:srgbClr>
          </a:outerShdw>
        </a:effectLst>
      </xdr:spPr>
    </xdr:sp>
    <xdr:clientData/>
  </xdr:twoCellAnchor>
  <xdr:twoCellAnchor>
    <xdr:from>
      <xdr:col>7</xdr:col>
      <xdr:colOff>120649</xdr:colOff>
      <xdr:row>36</xdr:row>
      <xdr:rowOff>168275</xdr:rowOff>
    </xdr:from>
    <xdr:to>
      <xdr:col>11</xdr:col>
      <xdr:colOff>341155</xdr:colOff>
      <xdr:row>38</xdr:row>
      <xdr:rowOff>199787</xdr:rowOff>
    </xdr:to>
    <xdr:sp macro="" textlink="">
      <xdr:nvSpPr>
        <xdr:cNvPr id="23" name="AutoShape 12"/>
        <xdr:cNvSpPr>
          <a:spLocks noChangeArrowheads="1"/>
        </xdr:cNvSpPr>
      </xdr:nvSpPr>
      <xdr:spPr bwMode="auto">
        <a:xfrm rot="9530205">
          <a:off x="6026149" y="9264650"/>
          <a:ext cx="2173131" cy="476012"/>
        </a:xfrm>
        <a:prstGeom prst="curvedDownArrow">
          <a:avLst>
            <a:gd name="adj1" fmla="val 102222"/>
            <a:gd name="adj2" fmla="val 204444"/>
            <a:gd name="adj3" fmla="val 33333"/>
          </a:avLst>
        </a:prstGeom>
        <a:solidFill>
          <a:srgbClr val="F4F2C4"/>
        </a:solidFill>
        <a:ln w="9525">
          <a:solidFill>
            <a:srgbClr val="000000"/>
          </a:solidFill>
          <a:miter lim="800000"/>
          <a:headEnd/>
          <a:tailEnd/>
        </a:ln>
        <a:effectLst>
          <a:outerShdw dist="107763" dir="2700000" algn="ctr" rotWithShape="0">
            <a:srgbClr val="808080">
              <a:alpha val="50000"/>
            </a:srgbClr>
          </a:outerShdw>
        </a:effectLst>
      </xdr:spPr>
    </xdr:sp>
    <xdr:clientData/>
  </xdr:twoCellAnchor>
  <xdr:twoCellAnchor>
    <xdr:from>
      <xdr:col>0</xdr:col>
      <xdr:colOff>0</xdr:colOff>
      <xdr:row>0</xdr:row>
      <xdr:rowOff>158750</xdr:rowOff>
    </xdr:from>
    <xdr:to>
      <xdr:col>18</xdr:col>
      <xdr:colOff>587375</xdr:colOff>
      <xdr:row>0</xdr:row>
      <xdr:rowOff>866636</xdr:rowOff>
    </xdr:to>
    <xdr:grpSp>
      <xdr:nvGrpSpPr>
        <xdr:cNvPr id="31" name="Group 30"/>
        <xdr:cNvGrpSpPr/>
      </xdr:nvGrpSpPr>
      <xdr:grpSpPr>
        <a:xfrm>
          <a:off x="0" y="158750"/>
          <a:ext cx="14303375" cy="707886"/>
          <a:chOff x="0" y="0"/>
          <a:chExt cx="14303375" cy="707886"/>
        </a:xfrm>
      </xdr:grpSpPr>
      <xdr:sp macro="" textlink="">
        <xdr:nvSpPr>
          <xdr:cNvPr id="34" name="TextBox 33"/>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Cash Flow Primer</a:t>
            </a:r>
          </a:p>
        </xdr:txBody>
      </xdr:sp>
      <xdr:grpSp>
        <xdr:nvGrpSpPr>
          <xdr:cNvPr id="37" name="Group 36"/>
          <xdr:cNvGrpSpPr/>
        </xdr:nvGrpSpPr>
        <xdr:grpSpPr>
          <a:xfrm>
            <a:off x="10302875" y="0"/>
            <a:ext cx="4000500" cy="603250"/>
            <a:chOff x="1231900" y="2944298"/>
            <a:chExt cx="4330700" cy="719667"/>
          </a:xfrm>
        </xdr:grpSpPr>
        <xdr:grpSp>
          <xdr:nvGrpSpPr>
            <xdr:cNvPr id="38" name="Group 37"/>
            <xdr:cNvGrpSpPr/>
          </xdr:nvGrpSpPr>
          <xdr:grpSpPr>
            <a:xfrm>
              <a:off x="1231900" y="2944298"/>
              <a:ext cx="4330700" cy="719667"/>
              <a:chOff x="1231900" y="3987800"/>
              <a:chExt cx="4330700" cy="719667"/>
            </a:xfrm>
          </xdr:grpSpPr>
          <xdr:sp macro="" textlink="">
            <xdr:nvSpPr>
              <xdr:cNvPr id="42" name="Left-Right Arrow 4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3" name="Group 42"/>
              <xdr:cNvGrpSpPr/>
            </xdr:nvGrpSpPr>
            <xdr:grpSpPr>
              <a:xfrm>
                <a:off x="1231900" y="3987800"/>
                <a:ext cx="4330700" cy="719667"/>
                <a:chOff x="1231900" y="3987800"/>
                <a:chExt cx="4330700" cy="863600"/>
              </a:xfrm>
            </xdr:grpSpPr>
            <xdr:sp macro="" textlink="">
              <xdr:nvSpPr>
                <xdr:cNvPr id="46" name="Left-Right Arrow 4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7" name="Straight Connector 4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8" name="Straight Connector 4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9" name="TextBox 3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0" name="TextBox 3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1" name="TextBox 4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47626</xdr:rowOff>
    </xdr:from>
    <xdr:to>
      <xdr:col>17</xdr:col>
      <xdr:colOff>0</xdr:colOff>
      <xdr:row>13</xdr:row>
      <xdr:rowOff>0</xdr:rowOff>
    </xdr:to>
    <xdr:sp macro="" textlink="">
      <xdr:nvSpPr>
        <xdr:cNvPr id="3" name="Text Box 13"/>
        <xdr:cNvSpPr txBox="1">
          <a:spLocks noChangeArrowheads="1"/>
        </xdr:cNvSpPr>
      </xdr:nvSpPr>
      <xdr:spPr bwMode="auto">
        <a:xfrm>
          <a:off x="5524500" y="1317626"/>
          <a:ext cx="11017250" cy="2619374"/>
        </a:xfrm>
        <a:prstGeom prst="rect">
          <a:avLst/>
        </a:prstGeom>
        <a:solidFill>
          <a:srgbClr val="FFFFFF"/>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LIQUIDITY: Can this organization pay its bills?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Working Capital</a:t>
          </a:r>
          <a:r>
            <a:rPr lang="en-US" sz="1600" b="0" i="0" u="none" strike="noStrike" baseline="0">
              <a:solidFill>
                <a:srgbClr val="0D0F11"/>
              </a:solidFill>
              <a:latin typeface="Arial"/>
              <a:ea typeface="+mn-ea"/>
              <a:cs typeface="Arial"/>
            </a:rPr>
            <a:t>: Capital tied up in Current Assets (such as Cash, Accounts Receivable and Inventories) less Current Liabilities (such as Accounts Payable).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EBIT</a:t>
          </a:r>
          <a:r>
            <a:rPr lang="en-US" sz="1600" b="0" i="0" u="none" strike="noStrike" baseline="0">
              <a:solidFill>
                <a:srgbClr val="0D0F11"/>
              </a:solidFill>
              <a:latin typeface="Arial"/>
              <a:ea typeface="+mn-ea"/>
              <a:cs typeface="Arial"/>
            </a:rPr>
            <a:t>: Pre-Tax Profit plus Interest Expense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Current Ratio</a:t>
          </a:r>
          <a:r>
            <a:rPr lang="en-US" sz="1600" b="0" i="0" u="none" strike="noStrike" baseline="0">
              <a:solidFill>
                <a:srgbClr val="0D0F11"/>
              </a:solidFill>
              <a:latin typeface="Arial"/>
              <a:ea typeface="+mn-ea"/>
              <a:cs typeface="Arial"/>
            </a:rPr>
            <a:t>: Current Assets divided by Current Liabilities, a measure of liquidity, or the ability to pay current debts out of current assets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Acid Test</a:t>
          </a:r>
          <a:r>
            <a:rPr lang="en-US" sz="1600" b="0" i="0" u="none" strike="noStrike" baseline="0">
              <a:solidFill>
                <a:srgbClr val="0D0F11"/>
              </a:solidFill>
              <a:latin typeface="Arial"/>
              <a:ea typeface="+mn-ea"/>
              <a:cs typeface="Arial"/>
            </a:rPr>
            <a:t>: (AKA Quick Ratio) An extreme version of the Current Ratio, the ‘Acid Test’ assumes Inventory cannot be converted to cash</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Free Cash Flow</a:t>
          </a:r>
          <a:r>
            <a:rPr lang="en-US" sz="1600" b="0" i="0" u="none" strike="noStrike" baseline="0">
              <a:solidFill>
                <a:srgbClr val="0D0F11"/>
              </a:solidFill>
              <a:latin typeface="Arial"/>
              <a:ea typeface="+mn-ea"/>
              <a:cs typeface="Arial"/>
            </a:rPr>
            <a:t>: Cash available to pay to owners and lenders, calculated by subtracting Dividends and After Tax Interest from Net Cash Flow for a period</a:t>
          </a:r>
        </a:p>
      </xdr:txBody>
    </xdr:sp>
    <xdr:clientData/>
  </xdr:twoCellAnchor>
  <xdr:twoCellAnchor>
    <xdr:from>
      <xdr:col>1</xdr:col>
      <xdr:colOff>0</xdr:colOff>
      <xdr:row>1</xdr:row>
      <xdr:rowOff>0</xdr:rowOff>
    </xdr:from>
    <xdr:to>
      <xdr:col>2</xdr:col>
      <xdr:colOff>0</xdr:colOff>
      <xdr:row>27</xdr:row>
      <xdr:rowOff>47625</xdr:rowOff>
    </xdr:to>
    <xdr:sp macro="" textlink="">
      <xdr:nvSpPr>
        <xdr:cNvPr id="7" name="TextBox 6"/>
        <xdr:cNvSpPr txBox="1"/>
      </xdr:nvSpPr>
      <xdr:spPr>
        <a:xfrm>
          <a:off x="444500" y="1270000"/>
          <a:ext cx="4635500" cy="5826125"/>
        </a:xfrm>
        <a:prstGeom prst="rect">
          <a:avLst/>
        </a:prstGeom>
        <a:solidFill>
          <a:sysClr val="window" lastClr="FFFFFF"/>
        </a:solidFill>
        <a:ln w="1270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About Ratios</a:t>
          </a:r>
        </a:p>
        <a:p>
          <a:pPr algn="l" rtl="0">
            <a:spcAft>
              <a:spcPts val="1200"/>
            </a:spcAft>
            <a:defRPr sz="1000"/>
          </a:pPr>
          <a:r>
            <a:rPr lang="en-US" sz="1800" b="0" i="0" u="none" strike="noStrike" baseline="0">
              <a:solidFill>
                <a:srgbClr val="0D0F11"/>
              </a:solidFill>
              <a:latin typeface="Arial"/>
              <a:cs typeface="Arial"/>
            </a:rPr>
            <a:t>A quick and intuitive way to keep control of your business involves regular tracking of ratios. Various ratios are widely computed and used to evaluate strengths and weaknesses, and trends, of a company. Their use depends on the specific concerns of executives, managers, and shareholders. </a:t>
          </a:r>
        </a:p>
        <a:p>
          <a:pPr algn="l" rtl="0">
            <a:spcAft>
              <a:spcPts val="1200"/>
            </a:spcAft>
            <a:defRPr sz="1000"/>
          </a:pPr>
          <a:r>
            <a:rPr lang="en-US" sz="1800" b="0" i="0" u="none" strike="noStrike" baseline="0">
              <a:solidFill>
                <a:srgbClr val="0D0F11"/>
              </a:solidFill>
              <a:latin typeface="Arial"/>
              <a:cs typeface="Arial"/>
            </a:rPr>
            <a:t>It can be misleading to use such ratios without a context, such as industry norms or period to period comparisons. Few reliable external ratio benchmarks exist at levels of granularity meaningful to operating managers, but higher level industry ratios can suggest appropriate performance targets.</a:t>
          </a:r>
        </a:p>
        <a:p>
          <a:pPr algn="l" rtl="0">
            <a:spcAft>
              <a:spcPts val="1200"/>
            </a:spcAft>
            <a:defRPr sz="1000"/>
          </a:pPr>
          <a:r>
            <a:rPr lang="en-US" sz="1800" b="0" i="0" u="none" strike="noStrike" baseline="0">
              <a:solidFill>
                <a:srgbClr val="0D0F11"/>
              </a:solidFill>
              <a:latin typeface="Arial"/>
              <a:cs typeface="Arial"/>
            </a:rPr>
            <a:t>This list is not complete, but includes the most commonly used ratios.</a:t>
          </a:r>
        </a:p>
      </xdr:txBody>
    </xdr:sp>
    <xdr:clientData/>
  </xdr:twoCellAnchor>
  <xdr:twoCellAnchor>
    <xdr:from>
      <xdr:col>3</xdr:col>
      <xdr:colOff>0</xdr:colOff>
      <xdr:row>14</xdr:row>
      <xdr:rowOff>47626</xdr:rowOff>
    </xdr:from>
    <xdr:to>
      <xdr:col>17</xdr:col>
      <xdr:colOff>0</xdr:colOff>
      <xdr:row>30</xdr:row>
      <xdr:rowOff>0</xdr:rowOff>
    </xdr:to>
    <xdr:sp macro="" textlink="">
      <xdr:nvSpPr>
        <xdr:cNvPr id="21" name="Text Box 13"/>
        <xdr:cNvSpPr txBox="1">
          <a:spLocks noChangeArrowheads="1"/>
        </xdr:cNvSpPr>
      </xdr:nvSpPr>
      <xdr:spPr bwMode="auto">
        <a:xfrm>
          <a:off x="5508625" y="4206876"/>
          <a:ext cx="11017250" cy="3508374"/>
        </a:xfrm>
        <a:prstGeom prst="rect">
          <a:avLst/>
        </a:prstGeom>
        <a:solidFill>
          <a:srgbClr val="FFFFFF"/>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ACTIVITY: Is the organization managing its work with effectiveness and efficiency?</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Days Sales Outstanding (DSO)</a:t>
          </a:r>
          <a:r>
            <a:rPr lang="en-US" sz="1600" b="0" i="0" u="none" strike="noStrike" baseline="0">
              <a:solidFill>
                <a:srgbClr val="0D0F11"/>
              </a:solidFill>
              <a:latin typeface="Arial"/>
              <a:ea typeface="+mn-ea"/>
              <a:cs typeface="Arial"/>
            </a:rPr>
            <a:t>: A measure of Accounts Receivable, measured as A/R divided by annual Revenue, times 365. DSO theoretically measures how many days we wait after delivering a product to get paid for it. In general, shorter cycles are better</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Days of Supply</a:t>
          </a:r>
          <a:r>
            <a:rPr lang="en-US" sz="1600" b="0" i="0" u="none" strike="noStrike" baseline="0">
              <a:solidFill>
                <a:srgbClr val="0D0F11"/>
              </a:solidFill>
              <a:latin typeface="Arial"/>
              <a:ea typeface="+mn-ea"/>
              <a:cs typeface="Arial"/>
            </a:rPr>
            <a:t>: The number of days’ worth of inventory on hand, estimated on the basis of use rate. See also inventory turns, the reciprocal.</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Operating Cycle</a:t>
          </a:r>
          <a:r>
            <a:rPr lang="en-US" sz="1600" b="0" i="0" u="none" strike="noStrike" baseline="0">
              <a:solidFill>
                <a:srgbClr val="0D0F11"/>
              </a:solidFill>
              <a:latin typeface="Arial"/>
              <a:ea typeface="+mn-ea"/>
              <a:cs typeface="Arial"/>
            </a:rPr>
            <a:t>: The number of days from the time money is spent until it is collected, from the purchases that do into inventory to the collection of receivables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Inventory Turns</a:t>
          </a:r>
          <a:r>
            <a:rPr lang="en-US" sz="1600" b="0" i="0" u="none" strike="noStrike" baseline="0">
              <a:solidFill>
                <a:srgbClr val="0D0F11"/>
              </a:solidFill>
              <a:latin typeface="Arial"/>
              <a:ea typeface="+mn-ea"/>
              <a:cs typeface="Arial"/>
            </a:rPr>
            <a:t>: (AKA Turnover) Turns measure how fast inventory is used and replaced. Different categories of inventory can turn at different rates. Computed as Total annual COGS divided by Inventory. Higher turns reduce invested capital</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Asset Leverage</a:t>
          </a:r>
          <a:r>
            <a:rPr lang="en-US" sz="1600" b="0" i="0" u="none" strike="noStrike" baseline="0">
              <a:solidFill>
                <a:srgbClr val="0D0F11"/>
              </a:solidFill>
              <a:latin typeface="Arial"/>
              <a:ea typeface="+mn-ea"/>
              <a:cs typeface="Arial"/>
            </a:rPr>
            <a:t>: Use of assets to gain the optimum revenue (measured as Revenue divided by Assets).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Cash Flow versus Earnings</a:t>
          </a:r>
          <a:r>
            <a:rPr lang="en-US" sz="1600" b="0" i="0" u="none" strike="noStrike" baseline="0">
              <a:solidFill>
                <a:srgbClr val="0D0F11"/>
              </a:solidFill>
              <a:latin typeface="Arial"/>
              <a:ea typeface="+mn-ea"/>
              <a:cs typeface="Arial"/>
            </a:rPr>
            <a:t>: An indicator of liquidity trends, computed for a given period</a:t>
          </a:r>
        </a:p>
      </xdr:txBody>
    </xdr:sp>
    <xdr:clientData/>
  </xdr:twoCellAnchor>
  <xdr:twoCellAnchor>
    <xdr:from>
      <xdr:col>3</xdr:col>
      <xdr:colOff>0</xdr:colOff>
      <xdr:row>31</xdr:row>
      <xdr:rowOff>47626</xdr:rowOff>
    </xdr:from>
    <xdr:to>
      <xdr:col>17</xdr:col>
      <xdr:colOff>0</xdr:colOff>
      <xdr:row>39</xdr:row>
      <xdr:rowOff>0</xdr:rowOff>
    </xdr:to>
    <xdr:sp macro="" textlink="">
      <xdr:nvSpPr>
        <xdr:cNvPr id="22" name="Text Box 13"/>
        <xdr:cNvSpPr txBox="1">
          <a:spLocks noChangeArrowheads="1"/>
        </xdr:cNvSpPr>
      </xdr:nvSpPr>
      <xdr:spPr bwMode="auto">
        <a:xfrm>
          <a:off x="5508625" y="7985126"/>
          <a:ext cx="11017250" cy="1730374"/>
        </a:xfrm>
        <a:prstGeom prst="rect">
          <a:avLst/>
        </a:prstGeom>
        <a:solidFill>
          <a:srgbClr val="FFFFFF"/>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Leverage (Solvency): Can this organization get long-term cash from investors and banks?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Debt Ratio</a:t>
          </a:r>
          <a:r>
            <a:rPr lang="en-US" sz="1600" b="0" i="0" u="none" strike="noStrike" baseline="0">
              <a:solidFill>
                <a:srgbClr val="0D0F11"/>
              </a:solidFill>
              <a:latin typeface="Arial"/>
              <a:ea typeface="+mn-ea"/>
              <a:cs typeface="Arial"/>
            </a:rPr>
            <a:t>: Total Liabilities divided by Total Assets, indicates how much of the company is owed to creditors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Debt / Equity Ratio</a:t>
          </a:r>
          <a:r>
            <a:rPr lang="en-US" sz="1600" b="0" i="0" u="none" strike="noStrike" baseline="0">
              <a:solidFill>
                <a:srgbClr val="0D0F11"/>
              </a:solidFill>
              <a:latin typeface="Arial"/>
              <a:ea typeface="+mn-ea"/>
              <a:cs typeface="Arial"/>
            </a:rPr>
            <a:t>: Total Liabilities divided by Total Equity, indicates the balance of the stakes held between owners and creditors. A ratio of 1:1 suggests lenders see acceptable risk in lending an amount equal to the owners’ equity</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Interest Coverage</a:t>
          </a:r>
          <a:r>
            <a:rPr lang="en-US" sz="1600" b="0" i="0" u="none" strike="noStrike" baseline="0">
              <a:solidFill>
                <a:srgbClr val="0D0F11"/>
              </a:solidFill>
              <a:latin typeface="Arial"/>
              <a:ea typeface="+mn-ea"/>
              <a:cs typeface="Arial"/>
            </a:rPr>
            <a:t>: Also called Cash Coverage. Ability to meet all interest obligations out of earnings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Times Interest Earned:</a:t>
          </a:r>
          <a:r>
            <a:rPr lang="en-US" sz="1600" b="0" i="0" u="none" strike="noStrike" baseline="0">
              <a:solidFill>
                <a:srgbClr val="0D0F11"/>
              </a:solidFill>
              <a:latin typeface="Arial"/>
              <a:ea typeface="+mn-ea"/>
              <a:cs typeface="Arial"/>
            </a:rPr>
            <a:t> Earnings Before Interest and Taxes divided by Interest</a:t>
          </a:r>
          <a:endParaRPr lang="en-US" sz="1400" b="0" i="0" u="none" strike="noStrike" baseline="0">
            <a:solidFill>
              <a:srgbClr val="0D0F11"/>
            </a:solidFill>
            <a:latin typeface="Arial"/>
            <a:ea typeface="+mn-ea"/>
            <a:cs typeface="Arial"/>
          </a:endParaRPr>
        </a:p>
      </xdr:txBody>
    </xdr:sp>
    <xdr:clientData/>
  </xdr:twoCellAnchor>
  <xdr:twoCellAnchor>
    <xdr:from>
      <xdr:col>3</xdr:col>
      <xdr:colOff>0</xdr:colOff>
      <xdr:row>40</xdr:row>
      <xdr:rowOff>47626</xdr:rowOff>
    </xdr:from>
    <xdr:to>
      <xdr:col>17</xdr:col>
      <xdr:colOff>0</xdr:colOff>
      <xdr:row>54</xdr:row>
      <xdr:rowOff>0</xdr:rowOff>
    </xdr:to>
    <xdr:sp macro="" textlink="">
      <xdr:nvSpPr>
        <xdr:cNvPr id="23" name="Text Box 13"/>
        <xdr:cNvSpPr txBox="1">
          <a:spLocks noChangeArrowheads="1"/>
        </xdr:cNvSpPr>
      </xdr:nvSpPr>
      <xdr:spPr bwMode="auto">
        <a:xfrm>
          <a:off x="5508625" y="9985376"/>
          <a:ext cx="11017250" cy="3063874"/>
        </a:xfrm>
        <a:prstGeom prst="rect">
          <a:avLst/>
        </a:prstGeom>
        <a:solidFill>
          <a:srgbClr val="FFFFFF"/>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PROFITABILITY: How efficiently does this company earns money, compared to its industry (different industries exhibit very different results)?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Gross Profit Margin</a:t>
          </a:r>
          <a:r>
            <a:rPr lang="en-US" sz="1600" b="0" i="0" u="none" strike="noStrike" baseline="0">
              <a:solidFill>
                <a:srgbClr val="0D0F11"/>
              </a:solidFill>
              <a:latin typeface="Arial"/>
              <a:ea typeface="+mn-ea"/>
              <a:cs typeface="Arial"/>
            </a:rPr>
            <a:t>: The contribution made toward corporate expenses by the sale of products, calculated as Revenue less Cost of Goods Sold, expressed as a percentage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Profit Margin</a:t>
          </a:r>
          <a:r>
            <a:rPr lang="en-US" sz="1600" b="0" i="0" u="none" strike="noStrike" baseline="0">
              <a:solidFill>
                <a:srgbClr val="0D0F11"/>
              </a:solidFill>
              <a:latin typeface="Arial"/>
              <a:ea typeface="+mn-ea"/>
              <a:cs typeface="Arial"/>
            </a:rPr>
            <a:t>: Profit Margin is a percentage calculated as Net Profit after Tax (NPAT) divided by Revenue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Pre-Tax Profit Margin</a:t>
          </a:r>
          <a:r>
            <a:rPr lang="en-US" sz="1600" b="0" i="0" u="none" strike="noStrike" baseline="0">
              <a:solidFill>
                <a:srgbClr val="0D0F11"/>
              </a:solidFill>
              <a:latin typeface="Arial"/>
              <a:ea typeface="+mn-ea"/>
              <a:cs typeface="Arial"/>
            </a:rPr>
            <a:t>: Pre-Tax Profit Margin is a percentage calculated as Net Profit before Tax divided by Revenue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Return on Assets</a:t>
          </a:r>
          <a:r>
            <a:rPr lang="en-US" sz="1600" b="0" i="0" u="none" strike="noStrike" baseline="0">
              <a:solidFill>
                <a:srgbClr val="0D0F11"/>
              </a:solidFill>
              <a:latin typeface="Arial"/>
              <a:ea typeface="+mn-ea"/>
              <a:cs typeface="Arial"/>
            </a:rPr>
            <a:t>: This is a measure of the efficient use of assets to gain profit (NPAT divided by Total Assets). Other ratios may be more meaningful in certain circumstances, such as Return on Controllable Assets (ROCA), meaning assets under the control of the department or organization responsible for their use</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Return on Invested Capital (ROIC)</a:t>
          </a:r>
          <a:r>
            <a:rPr lang="en-US" sz="1600" b="0" i="0" u="none" strike="noStrike" baseline="0">
              <a:solidFill>
                <a:srgbClr val="0D0F11"/>
              </a:solidFill>
              <a:latin typeface="Arial"/>
              <a:ea typeface="+mn-ea"/>
              <a:cs typeface="Arial"/>
            </a:rPr>
            <a:t>: This is a measure of the efficient use of assets to gain profit (NPAT divided by Equity)</a:t>
          </a:r>
          <a:endParaRPr lang="en-US" sz="1400" b="0" i="0" u="none" strike="noStrike" baseline="0">
            <a:solidFill>
              <a:srgbClr val="0D0F11"/>
            </a:solidFill>
            <a:latin typeface="Arial"/>
            <a:ea typeface="+mn-ea"/>
            <a:cs typeface="Arial"/>
          </a:endParaRPr>
        </a:p>
      </xdr:txBody>
    </xdr:sp>
    <xdr:clientData/>
  </xdr:twoCellAnchor>
  <xdr:twoCellAnchor>
    <xdr:from>
      <xdr:col>3</xdr:col>
      <xdr:colOff>0</xdr:colOff>
      <xdr:row>55</xdr:row>
      <xdr:rowOff>47626</xdr:rowOff>
    </xdr:from>
    <xdr:to>
      <xdr:col>17</xdr:col>
      <xdr:colOff>0</xdr:colOff>
      <xdr:row>65</xdr:row>
      <xdr:rowOff>0</xdr:rowOff>
    </xdr:to>
    <xdr:sp macro="" textlink="">
      <xdr:nvSpPr>
        <xdr:cNvPr id="24" name="Text Box 13"/>
        <xdr:cNvSpPr txBox="1">
          <a:spLocks noChangeArrowheads="1"/>
        </xdr:cNvSpPr>
      </xdr:nvSpPr>
      <xdr:spPr bwMode="auto">
        <a:xfrm>
          <a:off x="5508625" y="13319126"/>
          <a:ext cx="11017250" cy="2174874"/>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MARKET VALUE: How does the stock market view this company?</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Price/Earnings (P/E) Ratio</a:t>
          </a:r>
          <a:r>
            <a:rPr lang="en-US" sz="1600" b="0" i="0" u="none" strike="noStrike" baseline="0">
              <a:solidFill>
                <a:srgbClr val="0D0F11"/>
              </a:solidFill>
              <a:latin typeface="Arial"/>
              <a:ea typeface="+mn-ea"/>
              <a:cs typeface="Arial"/>
            </a:rPr>
            <a:t>: The value of a stock expressed as a multiple of a company’s earnings, based on expectations in the industry. This ratio is widely used to measure the stock market’s enthusiasm for a stock. High multiples suggest stock buyers see more value than current earnings would suggest, based on business combinations, e-commerce, business efficiency, or other factors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Dividend Yield</a:t>
          </a:r>
          <a:r>
            <a:rPr lang="en-US" sz="1600" b="0" i="0" u="none" strike="noStrike" baseline="0">
              <a:solidFill>
                <a:srgbClr val="0D0F11"/>
              </a:solidFill>
              <a:latin typeface="Arial"/>
              <a:ea typeface="+mn-ea"/>
              <a:cs typeface="Arial"/>
            </a:rPr>
            <a:t>: The value of Dividends paid compared to the Market Value of a stock</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Dividend Payout</a:t>
          </a:r>
          <a:r>
            <a:rPr lang="en-US" sz="1600" b="0" i="0" u="none" strike="noStrike" baseline="0">
              <a:solidFill>
                <a:srgbClr val="0D0F11"/>
              </a:solidFill>
              <a:latin typeface="Arial"/>
              <a:ea typeface="+mn-ea"/>
              <a:cs typeface="Arial"/>
            </a:rPr>
            <a:t>: Per cent of Net Profit after Tax paid out to shareholders in the form of Dividends or Distributions (Dividends divided by NPAT)</a:t>
          </a:r>
          <a:endParaRPr lang="en-US" sz="1200" b="0" i="0" u="none" strike="noStrike" baseline="0">
            <a:solidFill>
              <a:srgbClr val="0D0F11"/>
            </a:solidFill>
            <a:latin typeface="Arial"/>
            <a:ea typeface="+mn-ea"/>
            <a:cs typeface="Arial"/>
          </a:endParaRPr>
        </a:p>
      </xdr:txBody>
    </xdr:sp>
    <xdr:clientData/>
  </xdr:twoCellAnchor>
  <xdr:twoCellAnchor>
    <xdr:from>
      <xdr:col>3</xdr:col>
      <xdr:colOff>0</xdr:colOff>
      <xdr:row>66</xdr:row>
      <xdr:rowOff>47626</xdr:rowOff>
    </xdr:from>
    <xdr:to>
      <xdr:col>17</xdr:col>
      <xdr:colOff>0</xdr:colOff>
      <xdr:row>71</xdr:row>
      <xdr:rowOff>0</xdr:rowOff>
    </xdr:to>
    <xdr:sp macro="" textlink="">
      <xdr:nvSpPr>
        <xdr:cNvPr id="25" name="Text Box 13"/>
        <xdr:cNvSpPr txBox="1">
          <a:spLocks noChangeArrowheads="1"/>
        </xdr:cNvSpPr>
      </xdr:nvSpPr>
      <xdr:spPr bwMode="auto">
        <a:xfrm>
          <a:off x="5508625" y="15763876"/>
          <a:ext cx="11017250" cy="1063624"/>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marL="0" indent="0" algn="l" rtl="0">
            <a:lnSpc>
              <a:spcPct val="100000"/>
            </a:lnSpc>
            <a:defRPr sz="1000"/>
          </a:pPr>
          <a:r>
            <a:rPr lang="en-US" sz="1800" b="1" i="1" u="sng" strike="noStrike" baseline="0">
              <a:solidFill>
                <a:srgbClr val="0D0F11"/>
              </a:solidFill>
              <a:latin typeface="Arial"/>
              <a:ea typeface="+mn-ea"/>
              <a:cs typeface="Arial"/>
            </a:rPr>
            <a:t>PRODUCTIVITY: How efficiently does this company use its resources?</a:t>
          </a:r>
        </a:p>
        <a:p>
          <a:pPr marL="285750" indent="-285750" algn="l" rtl="0">
            <a:lnSpc>
              <a:spcPct val="100000"/>
            </a:lnSpc>
            <a:buFont typeface="Courier New"/>
            <a:buChar char="o"/>
            <a:defRPr sz="1000"/>
          </a:pPr>
          <a:r>
            <a:rPr lang="en-US" sz="1600" b="0" i="1" u="none" strike="noStrike" baseline="0">
              <a:solidFill>
                <a:srgbClr val="0D0F11"/>
              </a:solidFill>
              <a:latin typeface="Arial"/>
              <a:ea typeface="+mn-ea"/>
              <a:cs typeface="Arial"/>
            </a:rPr>
            <a:t>Profit / Revenue Per Employee</a:t>
          </a:r>
          <a:r>
            <a:rPr lang="en-US" sz="1600" b="0" i="0" u="none" strike="noStrike" baseline="0">
              <a:solidFill>
                <a:srgbClr val="0D0F11"/>
              </a:solidFill>
              <a:latin typeface="Arial"/>
              <a:ea typeface="+mn-ea"/>
              <a:cs typeface="Arial"/>
            </a:rPr>
            <a:t>: Thse are measures of the efficient use of human resources in securing profit or income for an organization</a:t>
          </a:r>
          <a:endParaRPr lang="en-US" sz="11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14</xdr:col>
      <xdr:colOff>31750</xdr:colOff>
      <xdr:row>0</xdr:row>
      <xdr:rowOff>866636</xdr:rowOff>
    </xdr:to>
    <xdr:grpSp>
      <xdr:nvGrpSpPr>
        <xdr:cNvPr id="26" name="Group 25"/>
        <xdr:cNvGrpSpPr/>
      </xdr:nvGrpSpPr>
      <xdr:grpSpPr>
        <a:xfrm>
          <a:off x="0" y="158750"/>
          <a:ext cx="14303375" cy="707886"/>
          <a:chOff x="0" y="0"/>
          <a:chExt cx="14303375" cy="707886"/>
        </a:xfrm>
      </xdr:grpSpPr>
      <xdr:sp macro="" textlink="">
        <xdr:nvSpPr>
          <xdr:cNvPr id="27" name="TextBox 26"/>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Ratios Primer</a:t>
            </a:r>
          </a:p>
        </xdr:txBody>
      </xdr:sp>
      <xdr:grpSp>
        <xdr:nvGrpSpPr>
          <xdr:cNvPr id="28" name="Group 27"/>
          <xdr:cNvGrpSpPr/>
        </xdr:nvGrpSpPr>
        <xdr:grpSpPr>
          <a:xfrm>
            <a:off x="10302875" y="0"/>
            <a:ext cx="4000500" cy="603250"/>
            <a:chOff x="1231900" y="2944298"/>
            <a:chExt cx="4330700" cy="719667"/>
          </a:xfrm>
        </xdr:grpSpPr>
        <xdr:grpSp>
          <xdr:nvGrpSpPr>
            <xdr:cNvPr id="29" name="Group 28"/>
            <xdr:cNvGrpSpPr/>
          </xdr:nvGrpSpPr>
          <xdr:grpSpPr>
            <a:xfrm>
              <a:off x="1231900" y="2944298"/>
              <a:ext cx="4330700" cy="719667"/>
              <a:chOff x="1231900" y="3987800"/>
              <a:chExt cx="4330700" cy="719667"/>
            </a:xfrm>
          </xdr:grpSpPr>
          <xdr:sp macro="" textlink="">
            <xdr:nvSpPr>
              <xdr:cNvPr id="33" name="Left-Right Arrow 3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4" name="Group 33"/>
              <xdr:cNvGrpSpPr/>
            </xdr:nvGrpSpPr>
            <xdr:grpSpPr>
              <a:xfrm>
                <a:off x="1231900" y="3987800"/>
                <a:ext cx="4330700" cy="719667"/>
                <a:chOff x="1231900" y="3987800"/>
                <a:chExt cx="4330700" cy="863600"/>
              </a:xfrm>
            </xdr:grpSpPr>
            <xdr:sp macro="" textlink="">
              <xdr:nvSpPr>
                <xdr:cNvPr id="35" name="Left-Right Arrow 3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6" name="Straight Connector 3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0" name="TextBox 29">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31" name="TextBox 3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32" name="TextBox 3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11342</xdr:rowOff>
    </xdr:from>
    <xdr:to>
      <xdr:col>4</xdr:col>
      <xdr:colOff>365125</xdr:colOff>
      <xdr:row>44</xdr:row>
      <xdr:rowOff>111125</xdr:rowOff>
    </xdr:to>
    <xdr:sp macro="" textlink="">
      <xdr:nvSpPr>
        <xdr:cNvPr id="17" name="TextBox 16"/>
        <xdr:cNvSpPr txBox="1"/>
      </xdr:nvSpPr>
      <xdr:spPr>
        <a:xfrm>
          <a:off x="444500" y="1281342"/>
          <a:ext cx="5619750" cy="9656533"/>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Chart of Accounts</a:t>
          </a:r>
        </a:p>
        <a:p>
          <a:pPr algn="l" rtl="0">
            <a:spcAft>
              <a:spcPts val="1200"/>
            </a:spcAft>
            <a:defRPr sz="1000"/>
          </a:pPr>
          <a:r>
            <a:rPr lang="en-US" sz="1800" b="0" i="0" u="none" strike="noStrike" baseline="0">
              <a:solidFill>
                <a:srgbClr val="0D0F11"/>
              </a:solidFill>
              <a:latin typeface="Arial"/>
              <a:cs typeface="Arial"/>
            </a:rPr>
            <a:t>A Chart of Accounts is a hierarchical numerical index of financial elements designed for sub-totaling into meaningful categories. For example, line 2211 could be Wells Fargo Loan and line 2210 could be Notes Payable (as in the example at right), subtotaled in the 22xx line as Noncurrent Liabilities. In this manner, bookkeepers can enter transactions into the books accurately, and complete Profit and Loss (P&amp;L) Statements and Balance Sheets can be constructed.</a:t>
          </a:r>
        </a:p>
        <a:p>
          <a:pPr algn="l" rtl="0">
            <a:spcAft>
              <a:spcPts val="1200"/>
            </a:spcAft>
            <a:defRPr sz="1000"/>
          </a:pPr>
          <a:r>
            <a:rPr lang="en-US" sz="1800" b="0" i="0" u="none" strike="noStrike" baseline="0">
              <a:solidFill>
                <a:srgbClr val="0D0F11"/>
              </a:solidFill>
              <a:latin typeface="Arial"/>
              <a:cs typeface="Arial"/>
            </a:rPr>
            <a:t>Different industries, and companies within an industry, use different naming conventions in their financial statements. For example, the material elements that add up to Cost of Goods Sold may be less meaningful in a service company than in a manufacturing firm. Within GAAP (Generally Accepted Accounting Practices) rules you may eliminate lines altogether or change their names to suit your reporting needs. </a:t>
          </a:r>
        </a:p>
        <a:p>
          <a:pPr algn="l" rtl="0">
            <a:spcAft>
              <a:spcPts val="1200"/>
            </a:spcAft>
            <a:defRPr sz="1000"/>
          </a:pPr>
          <a:r>
            <a:rPr lang="en-US" sz="1800" b="0" i="0" u="none" strike="noStrike" baseline="0">
              <a:solidFill>
                <a:srgbClr val="0D0F11"/>
              </a:solidFill>
              <a:latin typeface="Arial"/>
              <a:cs typeface="Arial"/>
            </a:rPr>
            <a:t>A General Ledger is the main record of all financial transactions of an organization. Using the Chart of Accounts as a road map, it shows (with double-entry bookkeeping methods involving debits and credits) where money comes from and goes to.</a:t>
          </a:r>
        </a:p>
        <a:p>
          <a:pPr algn="l" rtl="0">
            <a:spcAft>
              <a:spcPts val="1200"/>
            </a:spcAft>
            <a:defRPr sz="1000"/>
          </a:pPr>
          <a:r>
            <a:rPr lang="en-US" sz="1800" b="0" i="0" u="none" strike="noStrike" baseline="0">
              <a:solidFill>
                <a:srgbClr val="0D0F11"/>
              </a:solidFill>
              <a:latin typeface="Arial"/>
              <a:cs typeface="Arial"/>
            </a:rPr>
            <a:t>Sub-ledgers support the general ledger with details. For example, an asset sub-ledger might have numerous transaction dates and amounts, with the net value of all of them reconciled to a single line of the General Ledger.</a:t>
          </a:r>
        </a:p>
        <a:p>
          <a:pPr algn="l" rtl="0">
            <a:spcAft>
              <a:spcPts val="1200"/>
            </a:spcAft>
            <a:defRPr sz="1000"/>
          </a:pPr>
          <a:r>
            <a:rPr lang="en-US" sz="1800" b="0" i="0" u="none" strike="noStrike" baseline="0">
              <a:solidFill>
                <a:srgbClr val="0D0F11"/>
              </a:solidFill>
              <a:latin typeface="Arial"/>
              <a:cs typeface="Arial"/>
            </a:rPr>
            <a:t>If uncertain about the structure you should set up, consult an accounting advisor such as a CPA.</a:t>
          </a: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6</xdr:col>
      <xdr:colOff>3349625</xdr:colOff>
      <xdr:row>1</xdr:row>
      <xdr:rowOff>20867</xdr:rowOff>
    </xdr:from>
    <xdr:to>
      <xdr:col>6</xdr:col>
      <xdr:colOff>8969375</xdr:colOff>
      <xdr:row>21</xdr:row>
      <xdr:rowOff>31750</xdr:rowOff>
    </xdr:to>
    <xdr:sp macro="" textlink="">
      <xdr:nvSpPr>
        <xdr:cNvPr id="35" name="TextBox 34"/>
        <xdr:cNvSpPr txBox="1"/>
      </xdr:nvSpPr>
      <xdr:spPr>
        <a:xfrm>
          <a:off x="11922125" y="1290867"/>
          <a:ext cx="5619750" cy="4455883"/>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Double Entry Bookkeeping</a:t>
          </a:r>
        </a:p>
        <a:p>
          <a:pPr algn="l" rtl="0">
            <a:defRPr sz="1000"/>
          </a:pPr>
          <a:r>
            <a:rPr lang="en-US" sz="1800" b="0" i="0" u="none" strike="noStrike" baseline="0">
              <a:solidFill>
                <a:srgbClr val="0D0F11"/>
              </a:solidFill>
              <a:latin typeface="Arial"/>
              <a:cs typeface="Arial"/>
            </a:rPr>
            <a:t>Double entry bookkeeping means that every entry in the books has two entries, one showing where the money came from and one showing where it has been placed. Whether it is recorded in the debit or credit column depends on what type of financial entry it is, as follows:</a:t>
          </a:r>
        </a:p>
        <a:p>
          <a:pPr algn="l" rtl="0">
            <a:defRPr sz="1000"/>
          </a:pPr>
          <a:endParaRPr lang="en-US" sz="1800" b="0" i="0" u="none" strike="noStrike" baseline="0">
            <a:solidFill>
              <a:srgbClr val="0D0F11"/>
            </a:solidFill>
            <a:latin typeface="Arial"/>
            <a:cs typeface="Arial"/>
          </a:endParaRPr>
        </a:p>
      </xdr:txBody>
    </xdr:sp>
    <xdr:clientData/>
  </xdr:twoCellAnchor>
  <xdr:twoCellAnchor editAs="oneCell">
    <xdr:from>
      <xdr:col>4</xdr:col>
      <xdr:colOff>762000</xdr:colOff>
      <xdr:row>1</xdr:row>
      <xdr:rowOff>15874</xdr:rowOff>
    </xdr:from>
    <xdr:to>
      <xdr:col>6</xdr:col>
      <xdr:colOff>2968625</xdr:colOff>
      <xdr:row>40</xdr:row>
      <xdr:rowOff>15875</xdr:rowOff>
    </xdr:to>
    <xdr:pic>
      <xdr:nvPicPr>
        <xdr:cNvPr id="36" name="Picture 3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6625" y="1285874"/>
          <a:ext cx="5524500" cy="8667751"/>
        </a:xfrm>
        <a:prstGeom prst="rect">
          <a:avLst/>
        </a:prstGeom>
        <a:noFill/>
        <a:ln w="12700" cmpd="sng">
          <a:solidFill>
            <a:srgbClr val="000000"/>
          </a:solidFill>
        </a:ln>
        <a:effectLst>
          <a:outerShdw blurRad="50800" dist="38100" dir="2700000" algn="tl" rotWithShape="0">
            <a:prstClr val="black">
              <a:alpha val="40000"/>
            </a:prstClr>
          </a:outerShdw>
        </a:effectLst>
      </xdr:spPr>
    </xdr:pic>
    <xdr:clientData/>
  </xdr:twoCellAnchor>
  <xdr:twoCellAnchor editAs="oneCell">
    <xdr:from>
      <xdr:col>6</xdr:col>
      <xdr:colOff>3778250</xdr:colOff>
      <xdr:row>10</xdr:row>
      <xdr:rowOff>63499</xdr:rowOff>
    </xdr:from>
    <xdr:to>
      <xdr:col>6</xdr:col>
      <xdr:colOff>8255000</xdr:colOff>
      <xdr:row>20</xdr:row>
      <xdr:rowOff>47624</xdr:rowOff>
    </xdr:to>
    <xdr:pic>
      <xdr:nvPicPr>
        <xdr:cNvPr id="37" name="Picture 36"/>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50750" y="3333749"/>
          <a:ext cx="4476750" cy="2206625"/>
        </a:xfrm>
        <a:prstGeom prst="rect">
          <a:avLst/>
        </a:prstGeom>
        <a:noFill/>
        <a:ln w="12700" cmpd="sng">
          <a:noFill/>
        </a:ln>
        <a:effectLst/>
      </xdr:spPr>
    </xdr:pic>
    <xdr:clientData/>
  </xdr:twoCellAnchor>
  <xdr:twoCellAnchor>
    <xdr:from>
      <xdr:col>0</xdr:col>
      <xdr:colOff>0</xdr:colOff>
      <xdr:row>0</xdr:row>
      <xdr:rowOff>158750</xdr:rowOff>
    </xdr:from>
    <xdr:to>
      <xdr:col>6</xdr:col>
      <xdr:colOff>5286375</xdr:colOff>
      <xdr:row>0</xdr:row>
      <xdr:rowOff>866636</xdr:rowOff>
    </xdr:to>
    <xdr:grpSp>
      <xdr:nvGrpSpPr>
        <xdr:cNvPr id="11" name="Group 10"/>
        <xdr:cNvGrpSpPr/>
      </xdr:nvGrpSpPr>
      <xdr:grpSpPr>
        <a:xfrm>
          <a:off x="0" y="158750"/>
          <a:ext cx="14303375" cy="707886"/>
          <a:chOff x="0" y="0"/>
          <a:chExt cx="14303375" cy="707886"/>
        </a:xfrm>
      </xdr:grpSpPr>
      <xdr:sp macro="" textlink="">
        <xdr:nvSpPr>
          <xdr:cNvPr id="12" name="TextBox 11"/>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Chart of Accounts</a:t>
            </a:r>
          </a:p>
        </xdr:txBody>
      </xdr:sp>
      <xdr:grpSp>
        <xdr:nvGrpSpPr>
          <xdr:cNvPr id="13" name="Group 12"/>
          <xdr:cNvGrpSpPr/>
        </xdr:nvGrpSpPr>
        <xdr:grpSpPr>
          <a:xfrm>
            <a:off x="10302875" y="0"/>
            <a:ext cx="4000500" cy="603250"/>
            <a:chOff x="1231900" y="2944298"/>
            <a:chExt cx="4330700" cy="719667"/>
          </a:xfrm>
        </xdr:grpSpPr>
        <xdr:grpSp>
          <xdr:nvGrpSpPr>
            <xdr:cNvPr id="14" name="Group 13"/>
            <xdr:cNvGrpSpPr/>
          </xdr:nvGrpSpPr>
          <xdr:grpSpPr>
            <a:xfrm>
              <a:off x="1231900" y="2944298"/>
              <a:ext cx="4330700" cy="719667"/>
              <a:chOff x="1231900" y="3987800"/>
              <a:chExt cx="4330700" cy="719667"/>
            </a:xfrm>
          </xdr:grpSpPr>
          <xdr:sp macro="" textlink="">
            <xdr:nvSpPr>
              <xdr:cNvPr id="24" name="Left-Right Arrow 2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5" name="Group 24"/>
              <xdr:cNvGrpSpPr/>
            </xdr:nvGrpSpPr>
            <xdr:grpSpPr>
              <a:xfrm>
                <a:off x="1231900" y="3987800"/>
                <a:ext cx="4330700" cy="719667"/>
                <a:chOff x="1231900" y="3987800"/>
                <a:chExt cx="4330700" cy="863600"/>
              </a:xfrm>
            </xdr:grpSpPr>
            <xdr:sp macro="" textlink="">
              <xdr:nvSpPr>
                <xdr:cNvPr id="26" name="Left-Right Arrow 2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7" name="Straight Connector 2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8" name="Straight Connector 2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5" name="TextBox 14">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6" name="TextBox 15">
              <a:hlinkClick xmlns:r="http://schemas.openxmlformats.org/officeDocument/2006/relationships" r:id="rId4"/>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3" name="TextBox 22">
              <a:hlinkClick xmlns:r="http://schemas.openxmlformats.org/officeDocument/2006/relationships" r:id="rId5"/>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15874</xdr:rowOff>
    </xdr:from>
    <xdr:to>
      <xdr:col>1</xdr:col>
      <xdr:colOff>9144001</xdr:colOff>
      <xdr:row>54</xdr:row>
      <xdr:rowOff>95250</xdr:rowOff>
    </xdr:to>
    <xdr:sp macro="" textlink="">
      <xdr:nvSpPr>
        <xdr:cNvPr id="2" name="TextBox 1"/>
        <xdr:cNvSpPr txBox="1"/>
      </xdr:nvSpPr>
      <xdr:spPr>
        <a:xfrm>
          <a:off x="1" y="1285874"/>
          <a:ext cx="9144000" cy="8493126"/>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2000" b="1" i="1" u="sng" strike="noStrike" baseline="0">
              <a:solidFill>
                <a:srgbClr val="0D0F11"/>
              </a:solidFill>
              <a:latin typeface="Arial"/>
              <a:cs typeface="Arial"/>
            </a:rPr>
            <a:t>You Must Get More Revenue Than You Spend!</a:t>
          </a:r>
        </a:p>
        <a:p>
          <a:pPr marL="0" indent="0" algn="l" rtl="0">
            <a:buFontTx/>
            <a:buNone/>
            <a:defRPr sz="1000"/>
          </a:pPr>
          <a:r>
            <a:rPr lang="en-US" sz="1800" b="0" i="0" u="none" strike="noStrike" baseline="0">
              <a:solidFill>
                <a:srgbClr val="0D0F11"/>
              </a:solidFill>
              <a:latin typeface="Arial"/>
              <a:cs typeface="Arial"/>
            </a:rPr>
            <a:t>This tool is designed to help you plan to breakeven - take in at least as much as you spend in any period - or actually MAKE MONEY. It starts by collecting your best guess about how much it will cost you to DO business - make products to sell - and BE IN business - pay for overhead elements like running your factory or office. Once you have an idea of these costs, you are ready to use the Breakeven Chart</a:t>
          </a:r>
        </a:p>
        <a:p>
          <a:pPr marL="0" indent="0" algn="l" rtl="0">
            <a:buFontTx/>
            <a:buNone/>
            <a:defRPr sz="1000"/>
          </a:pPr>
          <a:endParaRPr lang="en-US" sz="1800" b="0" i="0"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The chart worksheet features sliders on the right side of the chart that will allow you to play 'what-if' games with revenue and cost drivers:</a:t>
          </a:r>
        </a:p>
        <a:p>
          <a:pPr marL="0" indent="0" algn="l" rtl="0">
            <a:buFontTx/>
            <a:buNone/>
            <a:defRPr sz="1000"/>
          </a:pPr>
          <a:endParaRPr lang="en-US" sz="1800" b="0" i="0" u="none" strike="noStrike" baseline="0">
            <a:solidFill>
              <a:srgbClr val="0D0F11"/>
            </a:solidFill>
            <a:latin typeface="Arial"/>
            <a:cs typeface="Arial"/>
          </a:endParaRPr>
        </a:p>
        <a:p>
          <a:pPr marL="742950" lvl="1" indent="-285750" algn="l" rtl="0">
            <a:buFont typeface="Courier New"/>
            <a:buChar char="o"/>
            <a:defRPr sz="1000"/>
          </a:pPr>
          <a:r>
            <a:rPr lang="en-US" sz="1800" b="0" i="0" u="none" strike="noStrike" baseline="0">
              <a:solidFill>
                <a:srgbClr val="0D0F11"/>
              </a:solidFill>
              <a:latin typeface="Arial"/>
              <a:cs typeface="Arial"/>
            </a:rPr>
            <a:t>How many units of product you might sell</a:t>
          </a:r>
        </a:p>
        <a:p>
          <a:pPr marL="742950" lvl="1" indent="-285750" algn="l" rtl="0">
            <a:buFont typeface="Courier New"/>
            <a:buChar char="o"/>
            <a:defRPr sz="1000"/>
          </a:pPr>
          <a:r>
            <a:rPr lang="en-US" sz="1800" b="0" i="0" u="none" strike="noStrike" baseline="0">
              <a:solidFill>
                <a:srgbClr val="0D0F11"/>
              </a:solidFill>
              <a:latin typeface="Arial"/>
              <a:cs typeface="Arial"/>
            </a:rPr>
            <a:t>For what price you might be able to sell each unit</a:t>
          </a:r>
        </a:p>
        <a:p>
          <a:pPr marL="742950" lvl="1" indent="-285750" algn="l" rtl="0">
            <a:buFont typeface="Courier New"/>
            <a:buChar char="o"/>
            <a:defRPr sz="1000"/>
          </a:pPr>
          <a:r>
            <a:rPr lang="en-US" sz="1800" b="0" i="0" u="none" strike="noStrike" baseline="0">
              <a:solidFill>
                <a:srgbClr val="0D0F11"/>
              </a:solidFill>
              <a:latin typeface="Arial"/>
              <a:cs typeface="Arial"/>
            </a:rPr>
            <a:t>How much the unit costs will be in terms of labor, materials, and other per unit costs (such as equipment with a unit capacity limitation - for example, if the equipment costs $1,000 and will wear out after 1,000 units are made, it costs $1.00 per unit)</a:t>
          </a:r>
        </a:p>
        <a:p>
          <a:pPr marL="742950" lvl="1" indent="-285750" algn="l" rtl="0">
            <a:buFont typeface="Courier New"/>
            <a:buChar char="o"/>
            <a:defRPr sz="1000"/>
          </a:pPr>
          <a:r>
            <a:rPr lang="en-US" sz="1800" b="0" i="0" u="none" strike="noStrike" baseline="0">
              <a:solidFill>
                <a:srgbClr val="0D0F11"/>
              </a:solidFill>
              <a:latin typeface="Arial"/>
              <a:cs typeface="Arial"/>
            </a:rPr>
            <a:t>How much you will spend to be in business, including for such elements as general office, marketing, and research</a:t>
          </a:r>
        </a:p>
        <a:p>
          <a:pPr marL="0" indent="0" algn="l" rtl="0">
            <a:buFontTx/>
            <a:buNone/>
            <a:defRPr sz="1000"/>
          </a:pPr>
          <a:endParaRPr lang="en-US" sz="1800" b="0" i="0"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As you move the sliders, you will see a number of useful indicators of financial health:</a:t>
          </a:r>
        </a:p>
        <a:p>
          <a:pPr marL="0" indent="0" algn="l" rtl="0">
            <a:buFontTx/>
            <a:buNone/>
            <a:defRPr sz="1000"/>
          </a:pPr>
          <a:endParaRPr lang="en-US" sz="1800" b="0" i="0" u="none" strike="noStrike" baseline="0">
            <a:solidFill>
              <a:srgbClr val="0D0F11"/>
            </a:solidFill>
            <a:latin typeface="Arial"/>
            <a:cs typeface="Arial"/>
          </a:endParaRPr>
        </a:p>
        <a:p>
          <a:pPr marL="742950" lvl="1" indent="-285750" algn="l" rtl="0">
            <a:buFont typeface="Courier New"/>
            <a:buChar char="o"/>
            <a:defRPr sz="1000"/>
          </a:pPr>
          <a:r>
            <a:rPr lang="en-US" sz="1800" b="0" i="0" u="none" strike="noStrike" baseline="0">
              <a:solidFill>
                <a:srgbClr val="0D0F11"/>
              </a:solidFill>
              <a:latin typeface="Arial"/>
              <a:cs typeface="Arial"/>
            </a:rPr>
            <a:t>How many units you will have to sell to breakeven</a:t>
          </a:r>
        </a:p>
        <a:p>
          <a:pPr marL="742950" lvl="1" indent="-285750" algn="l" rtl="0">
            <a:buFont typeface="Courier New"/>
            <a:buChar char="o"/>
            <a:defRPr sz="1000"/>
          </a:pPr>
          <a:r>
            <a:rPr lang="en-US" sz="1800" b="0" i="0" u="none" strike="noStrike" baseline="0">
              <a:solidFill>
                <a:srgbClr val="0D0F11"/>
              </a:solidFill>
              <a:latin typeface="Arial"/>
              <a:cs typeface="Arial"/>
            </a:rPr>
            <a:t>How much you might lose if you fall short</a:t>
          </a:r>
        </a:p>
        <a:p>
          <a:pPr marL="742950" lvl="1" indent="-285750" algn="l" rtl="0">
            <a:buFont typeface="Courier New"/>
            <a:buChar char="o"/>
            <a:defRPr sz="1000"/>
          </a:pPr>
          <a:r>
            <a:rPr lang="en-US" sz="1800" b="0" i="0" u="none" strike="noStrike" baseline="0">
              <a:solidFill>
                <a:srgbClr val="0D0F11"/>
              </a:solidFill>
              <a:latin typeface="Arial"/>
              <a:cs typeface="Arial"/>
            </a:rPr>
            <a:t>How much you might gain if you exceed breakeven</a:t>
          </a:r>
        </a:p>
        <a:p>
          <a:pPr marL="0" indent="0" algn="l" rtl="0">
            <a:buFontTx/>
            <a:buNone/>
            <a:defRPr sz="1000"/>
          </a:pPr>
          <a:endParaRPr lang="en-US" sz="1800" b="0" i="0"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Note that the breakeven chart shows only a snapshot in time, whereas you will undoubtedly experience variations in sales volume and price per unit (hopefully increasing), in costs per unit (probably decreasing over time, with experience), and in overhead elements which will grow as your business grows.</a:t>
          </a:r>
        </a:p>
      </xdr:txBody>
    </xdr:sp>
    <xdr:clientData/>
  </xdr:twoCellAnchor>
  <xdr:twoCellAnchor>
    <xdr:from>
      <xdr:col>0</xdr:col>
      <xdr:colOff>0</xdr:colOff>
      <xdr:row>0</xdr:row>
      <xdr:rowOff>158750</xdr:rowOff>
    </xdr:from>
    <xdr:to>
      <xdr:col>11</xdr:col>
      <xdr:colOff>269875</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Breakeven Concepts</a:t>
            </a:r>
          </a:p>
        </xdr:txBody>
      </xdr:sp>
      <xdr:grpSp>
        <xdr:nvGrpSpPr>
          <xdr:cNvPr id="18" name="Group 17"/>
          <xdr:cNvGrpSpPr/>
        </xdr:nvGrpSpPr>
        <xdr:grpSpPr>
          <a:xfrm>
            <a:off x="10302875" y="0"/>
            <a:ext cx="4000500" cy="603250"/>
            <a:chOff x="1231900" y="2944298"/>
            <a:chExt cx="4330700" cy="719667"/>
          </a:xfrm>
        </xdr:grpSpPr>
        <xdr:grpSp>
          <xdr:nvGrpSpPr>
            <xdr:cNvPr id="19" name="Group 18"/>
            <xdr:cNvGrpSpPr/>
          </xdr:nvGrpSpPr>
          <xdr:grpSpPr>
            <a:xfrm>
              <a:off x="1231900" y="2944298"/>
              <a:ext cx="4330700" cy="719667"/>
              <a:chOff x="1231900" y="3987800"/>
              <a:chExt cx="4330700" cy="719667"/>
            </a:xfrm>
          </xdr:grpSpPr>
          <xdr:sp macro="" textlink="">
            <xdr:nvSpPr>
              <xdr:cNvPr id="23" name="Left-Right Arrow 2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4" name="Group 23"/>
              <xdr:cNvGrpSpPr/>
            </xdr:nvGrpSpPr>
            <xdr:grpSpPr>
              <a:xfrm>
                <a:off x="1231900" y="3987800"/>
                <a:ext cx="4330700" cy="719667"/>
                <a:chOff x="1231900" y="3987800"/>
                <a:chExt cx="4330700" cy="863600"/>
              </a:xfrm>
            </xdr:grpSpPr>
            <xdr:sp macro="" textlink="">
              <xdr:nvSpPr>
                <xdr:cNvPr id="25" name="Left-Right Arrow 2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6" name="Straight Connector 2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7" name="Straight Connector 2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0" name="TextBox 19">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1" name="TextBox 2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2" name="TextBox 2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88900</xdr:colOff>
      <xdr:row>0</xdr:row>
      <xdr:rowOff>330200</xdr:rowOff>
    </xdr:from>
    <xdr:to>
      <xdr:col>4</xdr:col>
      <xdr:colOff>1600200</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4876800" y="330200"/>
          <a:ext cx="4305300" cy="317500"/>
        </a:xfrm>
        <a:prstGeom prst="rect">
          <a:avLst/>
        </a:prstGeom>
      </xdr:spPr>
    </xdr:sp>
    <xdr:clientData/>
  </xdr:twoCellAnchor>
  <xdr:twoCellAnchor>
    <xdr:from>
      <xdr:col>2</xdr:col>
      <xdr:colOff>0</xdr:colOff>
      <xdr:row>2</xdr:row>
      <xdr:rowOff>0</xdr:rowOff>
    </xdr:from>
    <xdr:to>
      <xdr:col>4</xdr:col>
      <xdr:colOff>0</xdr:colOff>
      <xdr:row>2</xdr:row>
      <xdr:rowOff>0</xdr:rowOff>
    </xdr:to>
    <xdr:sp macro="" textlink="">
      <xdr:nvSpPr>
        <xdr:cNvPr id="3" name="Rectangle 2"/>
        <xdr:cNvSpPr>
          <a:spLocks noChangeArrowheads="1"/>
        </xdr:cNvSpPr>
      </xdr:nvSpPr>
      <xdr:spPr bwMode="auto">
        <a:xfrm>
          <a:off x="4787900" y="1879600"/>
          <a:ext cx="27940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xdr:row>
      <xdr:rowOff>0</xdr:rowOff>
    </xdr:from>
    <xdr:to>
      <xdr:col>4</xdr:col>
      <xdr:colOff>0</xdr:colOff>
      <xdr:row>2</xdr:row>
      <xdr:rowOff>0</xdr:rowOff>
    </xdr:to>
    <xdr:sp macro="" textlink="">
      <xdr:nvSpPr>
        <xdr:cNvPr id="4" name="Rectangle 3"/>
        <xdr:cNvSpPr>
          <a:spLocks noChangeArrowheads="1"/>
        </xdr:cNvSpPr>
      </xdr:nvSpPr>
      <xdr:spPr bwMode="auto">
        <a:xfrm>
          <a:off x="4787900" y="1879600"/>
          <a:ext cx="27940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88900</xdr:colOff>
      <xdr:row>1</xdr:row>
      <xdr:rowOff>0</xdr:rowOff>
    </xdr:from>
    <xdr:to>
      <xdr:col>4</xdr:col>
      <xdr:colOff>1600200</xdr:colOff>
      <xdr:row>2</xdr:row>
      <xdr:rowOff>9525</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4876800" y="1574800"/>
          <a:ext cx="4305300" cy="317500"/>
        </a:xfrm>
        <a:prstGeom prst="rect">
          <a:avLst/>
        </a:prstGeom>
      </xdr:spPr>
    </xdr:sp>
    <xdr:clientData/>
  </xdr:twoCellAnchor>
  <xdr:twoCellAnchor editAs="oneCell">
    <xdr:from>
      <xdr:col>2</xdr:col>
      <xdr:colOff>88900</xdr:colOff>
      <xdr:row>1</xdr:row>
      <xdr:rowOff>330200</xdr:rowOff>
    </xdr:from>
    <xdr:to>
      <xdr:col>4</xdr:col>
      <xdr:colOff>1600200</xdr:colOff>
      <xdr:row>2</xdr:row>
      <xdr:rowOff>317500</xdr:rowOff>
    </xdr:to>
    <xdr:sp macro="" textlink="">
      <xdr:nvSpPr>
        <xdr:cNvPr id="6" name="Processes" hidden="1">
          <a:extLst>
            <a:ext uri="{63B3BB69-23CF-44E3-9099-C40C66FF867C}">
              <a14:compatExt xmlns:a14="http://schemas.microsoft.com/office/drawing/2010/main" spid="_x0000_s5873929"/>
            </a:ext>
          </a:extLst>
        </xdr:cNvPr>
        <xdr:cNvSpPr/>
      </xdr:nvSpPr>
      <xdr:spPr>
        <a:xfrm>
          <a:off x="4876800" y="1879600"/>
          <a:ext cx="4305300" cy="317500"/>
        </a:xfrm>
        <a:prstGeom prst="rect">
          <a:avLst/>
        </a:prstGeom>
      </xdr:spPr>
    </xdr:sp>
    <xdr:clientData/>
  </xdr:twoCellAnchor>
  <xdr:twoCellAnchor editAs="oneCell">
    <xdr:from>
      <xdr:col>2</xdr:col>
      <xdr:colOff>88900</xdr:colOff>
      <xdr:row>2</xdr:row>
      <xdr:rowOff>330200</xdr:rowOff>
    </xdr:from>
    <xdr:to>
      <xdr:col>4</xdr:col>
      <xdr:colOff>1600200</xdr:colOff>
      <xdr:row>3</xdr:row>
      <xdr:rowOff>309033</xdr:rowOff>
    </xdr:to>
    <xdr:sp macro="" textlink="">
      <xdr:nvSpPr>
        <xdr:cNvPr id="7" name="Processes" hidden="1">
          <a:extLst>
            <a:ext uri="{63B3BB69-23CF-44E3-9099-C40C66FF867C}">
              <a14:compatExt xmlns:a14="http://schemas.microsoft.com/office/drawing/2010/main" spid="_x0000_s5873929"/>
            </a:ext>
          </a:extLst>
        </xdr:cNvPr>
        <xdr:cNvSpPr/>
      </xdr:nvSpPr>
      <xdr:spPr>
        <a:xfrm>
          <a:off x="4876800" y="2209800"/>
          <a:ext cx="4305300" cy="309033"/>
        </a:xfrm>
        <a:prstGeom prst="rect">
          <a:avLst/>
        </a:prstGeom>
      </xdr:spPr>
    </xdr:sp>
    <xdr:clientData/>
  </xdr:twoCellAnchor>
  <xdr:twoCellAnchor editAs="oneCell">
    <xdr:from>
      <xdr:col>2</xdr:col>
      <xdr:colOff>88900</xdr:colOff>
      <xdr:row>3</xdr:row>
      <xdr:rowOff>330200</xdr:rowOff>
    </xdr:from>
    <xdr:to>
      <xdr:col>4</xdr:col>
      <xdr:colOff>1600200</xdr:colOff>
      <xdr:row>4</xdr:row>
      <xdr:rowOff>309034</xdr:rowOff>
    </xdr:to>
    <xdr:sp macro="" textlink="">
      <xdr:nvSpPr>
        <xdr:cNvPr id="8" name="Processes" hidden="1">
          <a:extLst>
            <a:ext uri="{63B3BB69-23CF-44E3-9099-C40C66FF867C}">
              <a14:compatExt xmlns:a14="http://schemas.microsoft.com/office/drawing/2010/main" spid="_x0000_s5873929"/>
            </a:ext>
          </a:extLst>
        </xdr:cNvPr>
        <xdr:cNvSpPr/>
      </xdr:nvSpPr>
      <xdr:spPr>
        <a:xfrm>
          <a:off x="4876800" y="2540000"/>
          <a:ext cx="4305300" cy="309034"/>
        </a:xfrm>
        <a:prstGeom prst="rect">
          <a:avLst/>
        </a:prstGeom>
      </xdr:spPr>
    </xdr:sp>
    <xdr:clientData/>
  </xdr:twoCellAnchor>
  <xdr:twoCellAnchor editAs="oneCell">
    <xdr:from>
      <xdr:col>2</xdr:col>
      <xdr:colOff>88900</xdr:colOff>
      <xdr:row>4</xdr:row>
      <xdr:rowOff>330200</xdr:rowOff>
    </xdr:from>
    <xdr:to>
      <xdr:col>4</xdr:col>
      <xdr:colOff>1600200</xdr:colOff>
      <xdr:row>5</xdr:row>
      <xdr:rowOff>309033</xdr:rowOff>
    </xdr:to>
    <xdr:sp macro="" textlink="">
      <xdr:nvSpPr>
        <xdr:cNvPr id="9" name="Processes" hidden="1">
          <a:extLst>
            <a:ext uri="{63B3BB69-23CF-44E3-9099-C40C66FF867C}">
              <a14:compatExt xmlns:a14="http://schemas.microsoft.com/office/drawing/2010/main" spid="_x0000_s5873929"/>
            </a:ext>
          </a:extLst>
        </xdr:cNvPr>
        <xdr:cNvSpPr/>
      </xdr:nvSpPr>
      <xdr:spPr>
        <a:xfrm>
          <a:off x="4876800" y="2870200"/>
          <a:ext cx="4305300" cy="309033"/>
        </a:xfrm>
        <a:prstGeom prst="rect">
          <a:avLst/>
        </a:prstGeom>
      </xdr:spPr>
    </xdr:sp>
    <xdr:clientData/>
  </xdr:twoCellAnchor>
  <xdr:twoCellAnchor editAs="oneCell">
    <xdr:from>
      <xdr:col>2</xdr:col>
      <xdr:colOff>88900</xdr:colOff>
      <xdr:row>5</xdr:row>
      <xdr:rowOff>330200</xdr:rowOff>
    </xdr:from>
    <xdr:to>
      <xdr:col>4</xdr:col>
      <xdr:colOff>1600200</xdr:colOff>
      <xdr:row>6</xdr:row>
      <xdr:rowOff>309033</xdr:rowOff>
    </xdr:to>
    <xdr:sp macro="" textlink="">
      <xdr:nvSpPr>
        <xdr:cNvPr id="10" name="Processes" hidden="1">
          <a:extLst>
            <a:ext uri="{63B3BB69-23CF-44E3-9099-C40C66FF867C}">
              <a14:compatExt xmlns:a14="http://schemas.microsoft.com/office/drawing/2010/main" spid="_x0000_s5873929"/>
            </a:ext>
          </a:extLst>
        </xdr:cNvPr>
        <xdr:cNvSpPr/>
      </xdr:nvSpPr>
      <xdr:spPr>
        <a:xfrm>
          <a:off x="4876800" y="3200400"/>
          <a:ext cx="4305300" cy="309033"/>
        </a:xfrm>
        <a:prstGeom prst="rect">
          <a:avLst/>
        </a:prstGeom>
      </xdr:spPr>
    </xdr:sp>
    <xdr:clientData/>
  </xdr:twoCellAnchor>
  <xdr:twoCellAnchor editAs="oneCell">
    <xdr:from>
      <xdr:col>2</xdr:col>
      <xdr:colOff>88900</xdr:colOff>
      <xdr:row>6</xdr:row>
      <xdr:rowOff>330200</xdr:rowOff>
    </xdr:from>
    <xdr:to>
      <xdr:col>4</xdr:col>
      <xdr:colOff>1600200</xdr:colOff>
      <xdr:row>7</xdr:row>
      <xdr:rowOff>309034</xdr:rowOff>
    </xdr:to>
    <xdr:sp macro="" textlink="">
      <xdr:nvSpPr>
        <xdr:cNvPr id="11" name="Processes" hidden="1">
          <a:extLst>
            <a:ext uri="{63B3BB69-23CF-44E3-9099-C40C66FF867C}">
              <a14:compatExt xmlns:a14="http://schemas.microsoft.com/office/drawing/2010/main" spid="_x0000_s5873929"/>
            </a:ext>
          </a:extLst>
        </xdr:cNvPr>
        <xdr:cNvSpPr/>
      </xdr:nvSpPr>
      <xdr:spPr>
        <a:xfrm>
          <a:off x="4876800" y="3530600"/>
          <a:ext cx="4305300" cy="309034"/>
        </a:xfrm>
        <a:prstGeom prst="rect">
          <a:avLst/>
        </a:prstGeom>
      </xdr:spPr>
    </xdr:sp>
    <xdr:clientData/>
  </xdr:twoCellAnchor>
  <xdr:twoCellAnchor editAs="oneCell">
    <xdr:from>
      <xdr:col>2</xdr:col>
      <xdr:colOff>88900</xdr:colOff>
      <xdr:row>7</xdr:row>
      <xdr:rowOff>330200</xdr:rowOff>
    </xdr:from>
    <xdr:to>
      <xdr:col>4</xdr:col>
      <xdr:colOff>1600200</xdr:colOff>
      <xdr:row>8</xdr:row>
      <xdr:rowOff>309033</xdr:rowOff>
    </xdr:to>
    <xdr:sp macro="" textlink="">
      <xdr:nvSpPr>
        <xdr:cNvPr id="12" name="Processes" hidden="1">
          <a:extLst>
            <a:ext uri="{63B3BB69-23CF-44E3-9099-C40C66FF867C}">
              <a14:compatExt xmlns:a14="http://schemas.microsoft.com/office/drawing/2010/main" spid="_x0000_s5873929"/>
            </a:ext>
          </a:extLst>
        </xdr:cNvPr>
        <xdr:cNvSpPr/>
      </xdr:nvSpPr>
      <xdr:spPr>
        <a:xfrm>
          <a:off x="4876800" y="3860800"/>
          <a:ext cx="4305300" cy="309033"/>
        </a:xfrm>
        <a:prstGeom prst="rect">
          <a:avLst/>
        </a:prstGeom>
      </xdr:spPr>
    </xdr:sp>
    <xdr:clientData/>
  </xdr:twoCellAnchor>
  <xdr:twoCellAnchor editAs="oneCell">
    <xdr:from>
      <xdr:col>2</xdr:col>
      <xdr:colOff>88900</xdr:colOff>
      <xdr:row>8</xdr:row>
      <xdr:rowOff>330200</xdr:rowOff>
    </xdr:from>
    <xdr:to>
      <xdr:col>4</xdr:col>
      <xdr:colOff>1600200</xdr:colOff>
      <xdr:row>9</xdr:row>
      <xdr:rowOff>309033</xdr:rowOff>
    </xdr:to>
    <xdr:sp macro="" textlink="">
      <xdr:nvSpPr>
        <xdr:cNvPr id="13" name="Processes" hidden="1">
          <a:extLst>
            <a:ext uri="{63B3BB69-23CF-44E3-9099-C40C66FF867C}">
              <a14:compatExt xmlns:a14="http://schemas.microsoft.com/office/drawing/2010/main" spid="_x0000_s5873929"/>
            </a:ext>
          </a:extLst>
        </xdr:cNvPr>
        <xdr:cNvSpPr/>
      </xdr:nvSpPr>
      <xdr:spPr>
        <a:xfrm>
          <a:off x="4876800" y="4191000"/>
          <a:ext cx="4305300" cy="309033"/>
        </a:xfrm>
        <a:prstGeom prst="rect">
          <a:avLst/>
        </a:prstGeom>
      </xdr:spPr>
    </xdr:sp>
    <xdr:clientData/>
  </xdr:twoCellAnchor>
  <xdr:twoCellAnchor editAs="oneCell">
    <xdr:from>
      <xdr:col>2</xdr:col>
      <xdr:colOff>88900</xdr:colOff>
      <xdr:row>9</xdr:row>
      <xdr:rowOff>330200</xdr:rowOff>
    </xdr:from>
    <xdr:to>
      <xdr:col>4</xdr:col>
      <xdr:colOff>1600200</xdr:colOff>
      <xdr:row>10</xdr:row>
      <xdr:rowOff>309034</xdr:rowOff>
    </xdr:to>
    <xdr:sp macro="" textlink="">
      <xdr:nvSpPr>
        <xdr:cNvPr id="14" name="Processes" hidden="1">
          <a:extLst>
            <a:ext uri="{63B3BB69-23CF-44E3-9099-C40C66FF867C}">
              <a14:compatExt xmlns:a14="http://schemas.microsoft.com/office/drawing/2010/main" spid="_x0000_s5873929"/>
            </a:ext>
          </a:extLst>
        </xdr:cNvPr>
        <xdr:cNvSpPr/>
      </xdr:nvSpPr>
      <xdr:spPr>
        <a:xfrm>
          <a:off x="4876800" y="4521200"/>
          <a:ext cx="4305300" cy="309034"/>
        </a:xfrm>
        <a:prstGeom prst="rect">
          <a:avLst/>
        </a:prstGeom>
      </xdr:spPr>
    </xdr:sp>
    <xdr:clientData/>
  </xdr:twoCellAnchor>
  <xdr:twoCellAnchor editAs="oneCell">
    <xdr:from>
      <xdr:col>2</xdr:col>
      <xdr:colOff>88900</xdr:colOff>
      <xdr:row>10</xdr:row>
      <xdr:rowOff>330200</xdr:rowOff>
    </xdr:from>
    <xdr:to>
      <xdr:col>4</xdr:col>
      <xdr:colOff>1600200</xdr:colOff>
      <xdr:row>11</xdr:row>
      <xdr:rowOff>309033</xdr:rowOff>
    </xdr:to>
    <xdr:sp macro="" textlink="">
      <xdr:nvSpPr>
        <xdr:cNvPr id="15" name="Processes" hidden="1">
          <a:extLst>
            <a:ext uri="{63B3BB69-23CF-44E3-9099-C40C66FF867C}">
              <a14:compatExt xmlns:a14="http://schemas.microsoft.com/office/drawing/2010/main" spid="_x0000_s5873929"/>
            </a:ext>
          </a:extLst>
        </xdr:cNvPr>
        <xdr:cNvSpPr/>
      </xdr:nvSpPr>
      <xdr:spPr>
        <a:xfrm>
          <a:off x="4876800" y="4851400"/>
          <a:ext cx="4305300" cy="309033"/>
        </a:xfrm>
        <a:prstGeom prst="rect">
          <a:avLst/>
        </a:prstGeom>
      </xdr:spPr>
    </xdr:sp>
    <xdr:clientData/>
  </xdr:twoCellAnchor>
  <xdr:twoCellAnchor editAs="oneCell">
    <xdr:from>
      <xdr:col>2</xdr:col>
      <xdr:colOff>88900</xdr:colOff>
      <xdr:row>11</xdr:row>
      <xdr:rowOff>330200</xdr:rowOff>
    </xdr:from>
    <xdr:to>
      <xdr:col>4</xdr:col>
      <xdr:colOff>1600200</xdr:colOff>
      <xdr:row>12</xdr:row>
      <xdr:rowOff>309033</xdr:rowOff>
    </xdr:to>
    <xdr:sp macro="" textlink="">
      <xdr:nvSpPr>
        <xdr:cNvPr id="16" name="Processes" hidden="1">
          <a:extLst>
            <a:ext uri="{63B3BB69-23CF-44E3-9099-C40C66FF867C}">
              <a14:compatExt xmlns:a14="http://schemas.microsoft.com/office/drawing/2010/main" spid="_x0000_s5873929"/>
            </a:ext>
          </a:extLst>
        </xdr:cNvPr>
        <xdr:cNvSpPr/>
      </xdr:nvSpPr>
      <xdr:spPr>
        <a:xfrm>
          <a:off x="4876800" y="5181600"/>
          <a:ext cx="4305300" cy="309033"/>
        </a:xfrm>
        <a:prstGeom prst="rect">
          <a:avLst/>
        </a:prstGeom>
      </xdr:spPr>
    </xdr:sp>
    <xdr:clientData/>
  </xdr:twoCellAnchor>
  <xdr:twoCellAnchor editAs="oneCell">
    <xdr:from>
      <xdr:col>2</xdr:col>
      <xdr:colOff>88900</xdr:colOff>
      <xdr:row>12</xdr:row>
      <xdr:rowOff>330200</xdr:rowOff>
    </xdr:from>
    <xdr:to>
      <xdr:col>4</xdr:col>
      <xdr:colOff>1600200</xdr:colOff>
      <xdr:row>13</xdr:row>
      <xdr:rowOff>309034</xdr:rowOff>
    </xdr:to>
    <xdr:sp macro="" textlink="">
      <xdr:nvSpPr>
        <xdr:cNvPr id="17" name="Processes" hidden="1">
          <a:extLst>
            <a:ext uri="{63B3BB69-23CF-44E3-9099-C40C66FF867C}">
              <a14:compatExt xmlns:a14="http://schemas.microsoft.com/office/drawing/2010/main" spid="_x0000_s5873929"/>
            </a:ext>
          </a:extLst>
        </xdr:cNvPr>
        <xdr:cNvSpPr/>
      </xdr:nvSpPr>
      <xdr:spPr>
        <a:xfrm>
          <a:off x="4876800" y="5511800"/>
          <a:ext cx="4305300" cy="309034"/>
        </a:xfrm>
        <a:prstGeom prst="rect">
          <a:avLst/>
        </a:prstGeom>
      </xdr:spPr>
    </xdr:sp>
    <xdr:clientData/>
  </xdr:twoCellAnchor>
  <xdr:twoCellAnchor editAs="oneCell">
    <xdr:from>
      <xdr:col>2</xdr:col>
      <xdr:colOff>88900</xdr:colOff>
      <xdr:row>13</xdr:row>
      <xdr:rowOff>330200</xdr:rowOff>
    </xdr:from>
    <xdr:to>
      <xdr:col>4</xdr:col>
      <xdr:colOff>1600200</xdr:colOff>
      <xdr:row>14</xdr:row>
      <xdr:rowOff>309033</xdr:rowOff>
    </xdr:to>
    <xdr:sp macro="" textlink="">
      <xdr:nvSpPr>
        <xdr:cNvPr id="18" name="Processes" hidden="1">
          <a:extLst>
            <a:ext uri="{63B3BB69-23CF-44E3-9099-C40C66FF867C}">
              <a14:compatExt xmlns:a14="http://schemas.microsoft.com/office/drawing/2010/main" spid="_x0000_s5873929"/>
            </a:ext>
          </a:extLst>
        </xdr:cNvPr>
        <xdr:cNvSpPr/>
      </xdr:nvSpPr>
      <xdr:spPr>
        <a:xfrm>
          <a:off x="4876800" y="5842000"/>
          <a:ext cx="4305300" cy="309033"/>
        </a:xfrm>
        <a:prstGeom prst="rect">
          <a:avLst/>
        </a:prstGeom>
      </xdr:spPr>
    </xdr:sp>
    <xdr:clientData/>
  </xdr:twoCellAnchor>
  <xdr:twoCellAnchor editAs="oneCell">
    <xdr:from>
      <xdr:col>2</xdr:col>
      <xdr:colOff>88900</xdr:colOff>
      <xdr:row>14</xdr:row>
      <xdr:rowOff>330200</xdr:rowOff>
    </xdr:from>
    <xdr:to>
      <xdr:col>4</xdr:col>
      <xdr:colOff>1600200</xdr:colOff>
      <xdr:row>15</xdr:row>
      <xdr:rowOff>309033</xdr:rowOff>
    </xdr:to>
    <xdr:sp macro="" textlink="">
      <xdr:nvSpPr>
        <xdr:cNvPr id="19" name="Processes" hidden="1">
          <a:extLst>
            <a:ext uri="{63B3BB69-23CF-44E3-9099-C40C66FF867C}">
              <a14:compatExt xmlns:a14="http://schemas.microsoft.com/office/drawing/2010/main" spid="_x0000_s5873929"/>
            </a:ext>
          </a:extLst>
        </xdr:cNvPr>
        <xdr:cNvSpPr/>
      </xdr:nvSpPr>
      <xdr:spPr>
        <a:xfrm>
          <a:off x="4876800" y="6172200"/>
          <a:ext cx="4305300" cy="309033"/>
        </a:xfrm>
        <a:prstGeom prst="rect">
          <a:avLst/>
        </a:prstGeom>
      </xdr:spPr>
    </xdr:sp>
    <xdr:clientData/>
  </xdr:twoCellAnchor>
  <xdr:twoCellAnchor editAs="oneCell">
    <xdr:from>
      <xdr:col>2</xdr:col>
      <xdr:colOff>88900</xdr:colOff>
      <xdr:row>15</xdr:row>
      <xdr:rowOff>330200</xdr:rowOff>
    </xdr:from>
    <xdr:to>
      <xdr:col>4</xdr:col>
      <xdr:colOff>1600200</xdr:colOff>
      <xdr:row>16</xdr:row>
      <xdr:rowOff>309034</xdr:rowOff>
    </xdr:to>
    <xdr:sp macro="" textlink="">
      <xdr:nvSpPr>
        <xdr:cNvPr id="20" name="Processes" hidden="1">
          <a:extLst>
            <a:ext uri="{63B3BB69-23CF-44E3-9099-C40C66FF867C}">
              <a14:compatExt xmlns:a14="http://schemas.microsoft.com/office/drawing/2010/main" spid="_x0000_s5873929"/>
            </a:ext>
          </a:extLst>
        </xdr:cNvPr>
        <xdr:cNvSpPr/>
      </xdr:nvSpPr>
      <xdr:spPr>
        <a:xfrm>
          <a:off x="4876800" y="6502400"/>
          <a:ext cx="4305300" cy="309034"/>
        </a:xfrm>
        <a:prstGeom prst="rect">
          <a:avLst/>
        </a:prstGeom>
      </xdr:spPr>
    </xdr:sp>
    <xdr:clientData/>
  </xdr:twoCellAnchor>
  <xdr:twoCellAnchor editAs="oneCell">
    <xdr:from>
      <xdr:col>2</xdr:col>
      <xdr:colOff>88900</xdr:colOff>
      <xdr:row>16</xdr:row>
      <xdr:rowOff>330200</xdr:rowOff>
    </xdr:from>
    <xdr:to>
      <xdr:col>4</xdr:col>
      <xdr:colOff>1600200</xdr:colOff>
      <xdr:row>17</xdr:row>
      <xdr:rowOff>309033</xdr:rowOff>
    </xdr:to>
    <xdr:sp macro="" textlink="">
      <xdr:nvSpPr>
        <xdr:cNvPr id="21" name="Processes" hidden="1">
          <a:extLst>
            <a:ext uri="{63B3BB69-23CF-44E3-9099-C40C66FF867C}">
              <a14:compatExt xmlns:a14="http://schemas.microsoft.com/office/drawing/2010/main" spid="_x0000_s5873929"/>
            </a:ext>
          </a:extLst>
        </xdr:cNvPr>
        <xdr:cNvSpPr/>
      </xdr:nvSpPr>
      <xdr:spPr>
        <a:xfrm>
          <a:off x="4876800" y="6832600"/>
          <a:ext cx="4305300" cy="309033"/>
        </a:xfrm>
        <a:prstGeom prst="rect">
          <a:avLst/>
        </a:prstGeom>
      </xdr:spPr>
    </xdr:sp>
    <xdr:clientData/>
  </xdr:twoCellAnchor>
  <xdr:twoCellAnchor editAs="oneCell">
    <xdr:from>
      <xdr:col>2</xdr:col>
      <xdr:colOff>88900</xdr:colOff>
      <xdr:row>17</xdr:row>
      <xdr:rowOff>330200</xdr:rowOff>
    </xdr:from>
    <xdr:to>
      <xdr:col>4</xdr:col>
      <xdr:colOff>1600200</xdr:colOff>
      <xdr:row>18</xdr:row>
      <xdr:rowOff>309033</xdr:rowOff>
    </xdr:to>
    <xdr:sp macro="" textlink="">
      <xdr:nvSpPr>
        <xdr:cNvPr id="22" name="Processes" hidden="1">
          <a:extLst>
            <a:ext uri="{63B3BB69-23CF-44E3-9099-C40C66FF867C}">
              <a14:compatExt xmlns:a14="http://schemas.microsoft.com/office/drawing/2010/main" spid="_x0000_s5873929"/>
            </a:ext>
          </a:extLst>
        </xdr:cNvPr>
        <xdr:cNvSpPr/>
      </xdr:nvSpPr>
      <xdr:spPr>
        <a:xfrm>
          <a:off x="4876800" y="7162800"/>
          <a:ext cx="4305300" cy="309033"/>
        </a:xfrm>
        <a:prstGeom prst="rect">
          <a:avLst/>
        </a:prstGeom>
      </xdr:spPr>
    </xdr:sp>
    <xdr:clientData/>
  </xdr:twoCellAnchor>
  <xdr:twoCellAnchor editAs="oneCell">
    <xdr:from>
      <xdr:col>2</xdr:col>
      <xdr:colOff>88900</xdr:colOff>
      <xdr:row>18</xdr:row>
      <xdr:rowOff>330200</xdr:rowOff>
    </xdr:from>
    <xdr:to>
      <xdr:col>4</xdr:col>
      <xdr:colOff>1600200</xdr:colOff>
      <xdr:row>19</xdr:row>
      <xdr:rowOff>309034</xdr:rowOff>
    </xdr:to>
    <xdr:sp macro="" textlink="">
      <xdr:nvSpPr>
        <xdr:cNvPr id="23" name="Processes" hidden="1">
          <a:extLst>
            <a:ext uri="{63B3BB69-23CF-44E3-9099-C40C66FF867C}">
              <a14:compatExt xmlns:a14="http://schemas.microsoft.com/office/drawing/2010/main" spid="_x0000_s5873929"/>
            </a:ext>
          </a:extLst>
        </xdr:cNvPr>
        <xdr:cNvSpPr/>
      </xdr:nvSpPr>
      <xdr:spPr>
        <a:xfrm>
          <a:off x="4876800" y="7493000"/>
          <a:ext cx="4305300" cy="309034"/>
        </a:xfrm>
        <a:prstGeom prst="rect">
          <a:avLst/>
        </a:prstGeom>
      </xdr:spPr>
    </xdr:sp>
    <xdr:clientData/>
  </xdr:twoCellAnchor>
  <xdr:twoCellAnchor editAs="oneCell">
    <xdr:from>
      <xdr:col>2</xdr:col>
      <xdr:colOff>88900</xdr:colOff>
      <xdr:row>19</xdr:row>
      <xdr:rowOff>330200</xdr:rowOff>
    </xdr:from>
    <xdr:to>
      <xdr:col>4</xdr:col>
      <xdr:colOff>1600200</xdr:colOff>
      <xdr:row>20</xdr:row>
      <xdr:rowOff>309033</xdr:rowOff>
    </xdr:to>
    <xdr:sp macro="" textlink="">
      <xdr:nvSpPr>
        <xdr:cNvPr id="24" name="Processes" hidden="1">
          <a:extLst>
            <a:ext uri="{63B3BB69-23CF-44E3-9099-C40C66FF867C}">
              <a14:compatExt xmlns:a14="http://schemas.microsoft.com/office/drawing/2010/main" spid="_x0000_s5873929"/>
            </a:ext>
          </a:extLst>
        </xdr:cNvPr>
        <xdr:cNvSpPr/>
      </xdr:nvSpPr>
      <xdr:spPr>
        <a:xfrm>
          <a:off x="4876800" y="7823200"/>
          <a:ext cx="4305300" cy="309033"/>
        </a:xfrm>
        <a:prstGeom prst="rect">
          <a:avLst/>
        </a:prstGeom>
      </xdr:spPr>
    </xdr:sp>
    <xdr:clientData/>
  </xdr:twoCellAnchor>
  <xdr:twoCellAnchor editAs="oneCell">
    <xdr:from>
      <xdr:col>2</xdr:col>
      <xdr:colOff>88900</xdr:colOff>
      <xdr:row>20</xdr:row>
      <xdr:rowOff>330200</xdr:rowOff>
    </xdr:from>
    <xdr:to>
      <xdr:col>4</xdr:col>
      <xdr:colOff>1600200</xdr:colOff>
      <xdr:row>22</xdr:row>
      <xdr:rowOff>38100</xdr:rowOff>
    </xdr:to>
    <xdr:sp macro="" textlink="">
      <xdr:nvSpPr>
        <xdr:cNvPr id="25" name="Processes" hidden="1">
          <a:extLst>
            <a:ext uri="{63B3BB69-23CF-44E3-9099-C40C66FF867C}">
              <a14:compatExt xmlns:a14="http://schemas.microsoft.com/office/drawing/2010/main" spid="_x0000_s5873929"/>
            </a:ext>
          </a:extLst>
        </xdr:cNvPr>
        <xdr:cNvSpPr/>
      </xdr:nvSpPr>
      <xdr:spPr>
        <a:xfrm>
          <a:off x="4876800" y="8153400"/>
          <a:ext cx="4305300" cy="317500"/>
        </a:xfrm>
        <a:prstGeom prst="rect">
          <a:avLst/>
        </a:prstGeom>
      </xdr:spPr>
    </xdr:sp>
    <xdr:clientData/>
  </xdr:twoCellAnchor>
  <xdr:twoCellAnchor>
    <xdr:from>
      <xdr:col>1</xdr:col>
      <xdr:colOff>31750</xdr:colOff>
      <xdr:row>22</xdr:row>
      <xdr:rowOff>142874</xdr:rowOff>
    </xdr:from>
    <xdr:to>
      <xdr:col>3</xdr:col>
      <xdr:colOff>47624</xdr:colOff>
      <xdr:row>45</xdr:row>
      <xdr:rowOff>127000</xdr:rowOff>
    </xdr:to>
    <xdr:sp macro="" textlink="">
      <xdr:nvSpPr>
        <xdr:cNvPr id="11267" name="Text Box 3"/>
        <xdr:cNvSpPr txBox="1">
          <a:spLocks noChangeArrowheads="1"/>
        </xdr:cNvSpPr>
      </xdr:nvSpPr>
      <xdr:spPr bwMode="auto">
        <a:xfrm>
          <a:off x="476250" y="8620124"/>
          <a:ext cx="7000874" cy="3635376"/>
        </a:xfrm>
        <a:prstGeom prst="rect">
          <a:avLst/>
        </a:prstGeom>
        <a:solidFill>
          <a:srgbClr val="FFFFFF"/>
        </a:solidFill>
        <a:ln w="12700" cmpd="sng">
          <a:solidFill>
            <a:srgbClr val="000000"/>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t" upright="1"/>
        <a:lstStyle/>
        <a:p>
          <a:pPr marL="182880" algn="l" rtl="0">
            <a:spcAft>
              <a:spcPts val="1200"/>
            </a:spcAft>
            <a:defRPr sz="1000"/>
          </a:pPr>
          <a:r>
            <a:rPr lang="en-US" sz="2000" b="1" i="1" u="sng" strike="noStrike" baseline="0">
              <a:solidFill>
                <a:srgbClr val="000000"/>
              </a:solidFill>
              <a:latin typeface="Arial"/>
              <a:ea typeface="Calibri"/>
              <a:cs typeface="Arial"/>
            </a:rPr>
            <a:t>Instructions</a:t>
          </a:r>
          <a:endParaRPr lang="en-US" sz="1800" b="1" i="1" u="sng" strike="noStrike" baseline="0">
            <a:solidFill>
              <a:srgbClr val="000000"/>
            </a:solidFill>
            <a:latin typeface="Arial"/>
            <a:ea typeface="Calibri"/>
            <a:cs typeface="Arial"/>
          </a:endParaRPr>
        </a:p>
        <a:p>
          <a:pPr marL="182880" algn="l" rtl="0">
            <a:defRPr sz="1000"/>
          </a:pPr>
          <a:r>
            <a:rPr lang="en-US" sz="1800" b="0" i="0" u="none" strike="noStrike" baseline="0">
              <a:solidFill>
                <a:srgbClr val="000000"/>
              </a:solidFill>
              <a:latin typeface="Arial"/>
              <a:ea typeface="Calibri"/>
              <a:cs typeface="Arial"/>
            </a:rPr>
            <a:t>This worksheet provides a space for estimating some key cost information, to be used with the breakeven chart on the next page. Write in the names of the specific elements you will need to pay for in your business.</a:t>
          </a:r>
        </a:p>
        <a:p>
          <a:pPr marL="182880" algn="l" rtl="0">
            <a:defRPr sz="1000"/>
          </a:pPr>
          <a:endParaRPr lang="en-US" sz="1800" b="0" i="0" u="none" strike="noStrike" baseline="0">
            <a:solidFill>
              <a:srgbClr val="000000"/>
            </a:solidFill>
            <a:latin typeface="Arial"/>
            <a:ea typeface="Calibri"/>
            <a:cs typeface="Arial"/>
          </a:endParaRPr>
        </a:p>
        <a:p>
          <a:pPr marL="182880" algn="l" rtl="0">
            <a:defRPr sz="1000"/>
          </a:pPr>
          <a:r>
            <a:rPr lang="en-US" sz="1800" b="0" i="0" u="none" strike="noStrike" baseline="0">
              <a:solidFill>
                <a:srgbClr val="000000"/>
              </a:solidFill>
              <a:latin typeface="Arial"/>
              <a:ea typeface="Calibri"/>
              <a:cs typeface="Arial"/>
            </a:rPr>
            <a:t>You can overwrite the element names shown. The purpose is to ensure you have thought of every type of cost you will incur for each unt of product or service you wil produce (the direct cost column), and for each month you are in operation whether you produce anything or not (the overhead column).</a:t>
          </a:r>
          <a:endParaRPr lang="en-US" sz="2800" b="0" i="0" u="none" strike="noStrike" baseline="0">
            <a:solidFill>
              <a:srgbClr val="000000"/>
            </a:solidFill>
            <a:latin typeface="Arial"/>
            <a:ea typeface="Calibri"/>
            <a:cs typeface="Arial"/>
          </a:endParaRPr>
        </a:p>
      </xdr:txBody>
    </xdr:sp>
    <xdr:clientData/>
  </xdr:twoCellAnchor>
  <xdr:twoCellAnchor>
    <xdr:from>
      <xdr:col>0</xdr:col>
      <xdr:colOff>0</xdr:colOff>
      <xdr:row>0</xdr:row>
      <xdr:rowOff>158750</xdr:rowOff>
    </xdr:from>
    <xdr:to>
      <xdr:col>5</xdr:col>
      <xdr:colOff>1476375</xdr:colOff>
      <xdr:row>0</xdr:row>
      <xdr:rowOff>866636</xdr:rowOff>
    </xdr:to>
    <xdr:grpSp>
      <xdr:nvGrpSpPr>
        <xdr:cNvPr id="48" name="Group 47"/>
        <xdr:cNvGrpSpPr/>
      </xdr:nvGrpSpPr>
      <xdr:grpSpPr>
        <a:xfrm>
          <a:off x="0" y="158750"/>
          <a:ext cx="14303375" cy="707886"/>
          <a:chOff x="0" y="0"/>
          <a:chExt cx="14303375" cy="707886"/>
        </a:xfrm>
      </xdr:grpSpPr>
      <xdr:sp macro="" textlink="">
        <xdr:nvSpPr>
          <xdr:cNvPr id="49" name="TextBox 4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Costs: the Usual Suspects</a:t>
            </a:r>
          </a:p>
        </xdr:txBody>
      </xdr:sp>
      <xdr:grpSp>
        <xdr:nvGrpSpPr>
          <xdr:cNvPr id="50" name="Group 49"/>
          <xdr:cNvGrpSpPr/>
        </xdr:nvGrpSpPr>
        <xdr:grpSpPr>
          <a:xfrm>
            <a:off x="10302875" y="0"/>
            <a:ext cx="4000500" cy="603250"/>
            <a:chOff x="1231900" y="2944298"/>
            <a:chExt cx="4330700" cy="719667"/>
          </a:xfrm>
        </xdr:grpSpPr>
        <xdr:grpSp>
          <xdr:nvGrpSpPr>
            <xdr:cNvPr id="51" name="Group 50"/>
            <xdr:cNvGrpSpPr/>
          </xdr:nvGrpSpPr>
          <xdr:grpSpPr>
            <a:xfrm>
              <a:off x="1231900" y="2944298"/>
              <a:ext cx="4330700" cy="719667"/>
              <a:chOff x="1231900" y="3987800"/>
              <a:chExt cx="4330700" cy="719667"/>
            </a:xfrm>
          </xdr:grpSpPr>
          <xdr:sp macro="" textlink="">
            <xdr:nvSpPr>
              <xdr:cNvPr id="55" name="Left-Right Arrow 5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6" name="Group 55"/>
              <xdr:cNvGrpSpPr/>
            </xdr:nvGrpSpPr>
            <xdr:grpSpPr>
              <a:xfrm>
                <a:off x="1231900" y="3987800"/>
                <a:ext cx="4330700" cy="719667"/>
                <a:chOff x="1231900" y="3987800"/>
                <a:chExt cx="4330700" cy="863600"/>
              </a:xfrm>
            </xdr:grpSpPr>
            <xdr:sp macro="" textlink="">
              <xdr:nvSpPr>
                <xdr:cNvPr id="57" name="Left-Right Arrow 5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8" name="Straight Connector 5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2" name="TextBox 5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53" name="TextBox 5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54" name="TextBox 5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10" Type="http://schemas.openxmlformats.org/officeDocument/2006/relationships/ctrlProp" Target="../ctrlProps/ctrlProp8.xml"/><Relationship Id="rId11" Type="http://schemas.openxmlformats.org/officeDocument/2006/relationships/comments" Target="../comments2.xml"/><Relationship Id="rId1" Type="http://schemas.openxmlformats.org/officeDocument/2006/relationships/drawing" Target="../drawings/drawing10.xml"/><Relationship Id="rId2"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9" Type="http://schemas.openxmlformats.org/officeDocument/2006/relationships/ctrlProp" Target="../ctrlProps/ctrlProp15.xml"/><Relationship Id="rId20" Type="http://schemas.openxmlformats.org/officeDocument/2006/relationships/ctrlProp" Target="../ctrlProps/ctrlProp26.xml"/><Relationship Id="rId21" Type="http://schemas.openxmlformats.org/officeDocument/2006/relationships/ctrlProp" Target="../ctrlProps/ctrlProp27.xml"/><Relationship Id="rId10" Type="http://schemas.openxmlformats.org/officeDocument/2006/relationships/ctrlProp" Target="../ctrlProps/ctrlProp16.xml"/><Relationship Id="rId11" Type="http://schemas.openxmlformats.org/officeDocument/2006/relationships/ctrlProp" Target="../ctrlProps/ctrlProp17.xml"/><Relationship Id="rId12" Type="http://schemas.openxmlformats.org/officeDocument/2006/relationships/ctrlProp" Target="../ctrlProps/ctrlProp18.xml"/><Relationship Id="rId13" Type="http://schemas.openxmlformats.org/officeDocument/2006/relationships/ctrlProp" Target="../ctrlProps/ctrlProp19.xml"/><Relationship Id="rId14" Type="http://schemas.openxmlformats.org/officeDocument/2006/relationships/ctrlProp" Target="../ctrlProps/ctrlProp20.xml"/><Relationship Id="rId15" Type="http://schemas.openxmlformats.org/officeDocument/2006/relationships/ctrlProp" Target="../ctrlProps/ctrlProp21.xml"/><Relationship Id="rId16" Type="http://schemas.openxmlformats.org/officeDocument/2006/relationships/ctrlProp" Target="../ctrlProps/ctrlProp22.xml"/><Relationship Id="rId17" Type="http://schemas.openxmlformats.org/officeDocument/2006/relationships/ctrlProp" Target="../ctrlProps/ctrlProp23.xml"/><Relationship Id="rId18" Type="http://schemas.openxmlformats.org/officeDocument/2006/relationships/ctrlProp" Target="../ctrlProps/ctrlProp24.xml"/><Relationship Id="rId19" Type="http://schemas.openxmlformats.org/officeDocument/2006/relationships/ctrlProp" Target="../ctrlProps/ctrlProp25.xml"/><Relationship Id="rId1" Type="http://schemas.openxmlformats.org/officeDocument/2006/relationships/drawing" Target="../drawings/drawing12.xml"/><Relationship Id="rId2" Type="http://schemas.openxmlformats.org/officeDocument/2006/relationships/vmlDrawing" Target="../drawings/vmlDrawing3.vml"/><Relationship Id="rId3" Type="http://schemas.openxmlformats.org/officeDocument/2006/relationships/ctrlProp" Target="../ctrlProps/ctrlProp9.xml"/><Relationship Id="rId4" Type="http://schemas.openxmlformats.org/officeDocument/2006/relationships/ctrlProp" Target="../ctrlProps/ctrlProp10.xml"/><Relationship Id="rId5" Type="http://schemas.openxmlformats.org/officeDocument/2006/relationships/ctrlProp" Target="../ctrlProps/ctrlProp11.xml"/><Relationship Id="rId6" Type="http://schemas.openxmlformats.org/officeDocument/2006/relationships/ctrlProp" Target="../ctrlProps/ctrlProp12.xml"/><Relationship Id="rId7" Type="http://schemas.openxmlformats.org/officeDocument/2006/relationships/ctrlProp" Target="../ctrlProps/ctrlProp13.xml"/><Relationship Id="rId8"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28.xml"/><Relationship Id="rId4" Type="http://schemas.openxmlformats.org/officeDocument/2006/relationships/ctrlProp" Target="../ctrlProps/ctrlProp29.xml"/><Relationship Id="rId5" Type="http://schemas.openxmlformats.org/officeDocument/2006/relationships/comments" Target="../comments3.xml"/><Relationship Id="rId1" Type="http://schemas.openxmlformats.org/officeDocument/2006/relationships/drawing" Target="../drawings/drawing20.xml"/><Relationship Id="rId2"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2"/>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4"/>
  <sheetViews>
    <sheetView showGridLines="0" showRowColHeaders="0" zoomScale="80" zoomScaleNormal="80" zoomScalePageLayoutView="80" workbookViewId="0">
      <selection activeCell="B4" sqref="B4"/>
    </sheetView>
  </sheetViews>
  <sheetFormatPr baseColWidth="10" defaultColWidth="8.83203125" defaultRowHeight="13" x14ac:dyDescent="0"/>
  <cols>
    <col min="1" max="1" width="5.83203125" style="86" customWidth="1"/>
    <col min="2" max="2" width="15.6640625" style="67" customWidth="1"/>
    <col min="3" max="3" width="16.33203125" style="75" hidden="1" customWidth="1"/>
    <col min="4" max="5" width="16.33203125" style="67" customWidth="1"/>
    <col min="6" max="7" width="10.1640625" style="86" bestFit="1" customWidth="1"/>
    <col min="8" max="8" width="14.1640625" style="86" customWidth="1"/>
    <col min="9" max="13" width="10.1640625" style="86" bestFit="1" customWidth="1"/>
    <col min="14" max="14" width="6.33203125" style="86" customWidth="1"/>
    <col min="15" max="16" width="16" style="86" customWidth="1"/>
    <col min="17" max="17" width="2.33203125" style="86" hidden="1" customWidth="1"/>
    <col min="18" max="18" width="12" style="86" customWidth="1"/>
    <col min="19" max="19" width="10.1640625" style="86" bestFit="1" customWidth="1"/>
    <col min="20" max="16384" width="8.83203125" style="86"/>
  </cols>
  <sheetData>
    <row r="1" spans="2:19" ht="100" customHeight="1" thickBot="1">
      <c r="C1" s="68"/>
    </row>
    <row r="2" spans="2:19" ht="21">
      <c r="B2" s="103"/>
      <c r="C2" s="104"/>
      <c r="D2" s="104"/>
      <c r="E2" s="104"/>
      <c r="F2" s="104"/>
      <c r="G2" s="104"/>
      <c r="H2" s="104"/>
      <c r="I2" s="104"/>
      <c r="J2" s="104"/>
      <c r="K2" s="76"/>
      <c r="L2" s="104"/>
      <c r="M2" s="104"/>
      <c r="N2" s="104"/>
      <c r="O2" s="104"/>
      <c r="P2" s="105"/>
      <c r="Q2" s="106"/>
      <c r="R2" s="107"/>
      <c r="S2" s="108"/>
    </row>
    <row r="3" spans="2:19" ht="21">
      <c r="B3" s="156" t="s">
        <v>228</v>
      </c>
      <c r="C3" s="109"/>
      <c r="D3" s="109"/>
      <c r="E3" s="109"/>
      <c r="F3" s="109"/>
      <c r="G3" s="109"/>
      <c r="H3" s="109"/>
      <c r="I3" s="109"/>
      <c r="J3" s="109"/>
      <c r="K3" s="77" t="s">
        <v>192</v>
      </c>
      <c r="L3" s="109"/>
      <c r="M3" s="116"/>
      <c r="N3" s="110"/>
      <c r="O3" s="110"/>
      <c r="P3" s="111"/>
      <c r="Q3" s="106"/>
      <c r="R3" s="112"/>
      <c r="S3" s="113"/>
    </row>
    <row r="4" spans="2:19" ht="18">
      <c r="B4" s="114"/>
      <c r="C4" s="115"/>
      <c r="D4" s="115"/>
      <c r="E4" s="115"/>
      <c r="F4" s="115"/>
      <c r="G4" s="115"/>
      <c r="H4" s="115"/>
      <c r="I4" s="115"/>
      <c r="J4" s="115"/>
      <c r="K4" s="115"/>
      <c r="L4" s="155" t="s">
        <v>193</v>
      </c>
      <c r="M4" s="116"/>
      <c r="N4" s="116"/>
      <c r="O4" s="117">
        <f>Volume</f>
        <v>2520</v>
      </c>
      <c r="P4" s="111"/>
      <c r="Q4" s="118">
        <v>2520</v>
      </c>
      <c r="R4" s="119"/>
      <c r="S4" s="120"/>
    </row>
    <row r="5" spans="2:19" ht="18">
      <c r="B5" s="114"/>
      <c r="C5" s="115"/>
      <c r="D5" s="115"/>
      <c r="E5" s="115"/>
      <c r="F5" s="115"/>
      <c r="G5" s="115"/>
      <c r="H5" s="115"/>
      <c r="I5" s="115"/>
      <c r="J5" s="115"/>
      <c r="K5" s="115"/>
      <c r="L5" s="154" t="s">
        <v>197</v>
      </c>
      <c r="M5" s="116"/>
      <c r="N5" s="116"/>
      <c r="O5" s="97">
        <f>Price</f>
        <v>110</v>
      </c>
      <c r="P5" s="111"/>
      <c r="Q5" s="121"/>
      <c r="R5" s="119"/>
      <c r="S5" s="120"/>
    </row>
    <row r="6" spans="2:19" ht="18">
      <c r="B6" s="114"/>
      <c r="C6" s="115"/>
      <c r="D6" s="115"/>
      <c r="E6" s="115"/>
      <c r="F6" s="115"/>
      <c r="G6" s="115"/>
      <c r="H6" s="115"/>
      <c r="I6" s="115"/>
      <c r="J6" s="115"/>
      <c r="K6" s="115"/>
      <c r="L6" s="116"/>
      <c r="M6" s="116"/>
      <c r="N6" s="116"/>
      <c r="O6" s="116"/>
      <c r="P6" s="116"/>
      <c r="Q6" s="121"/>
      <c r="R6" s="119"/>
      <c r="S6" s="120"/>
    </row>
    <row r="7" spans="2:19" ht="18">
      <c r="B7" s="114"/>
      <c r="C7" s="115"/>
      <c r="D7" s="115"/>
      <c r="E7" s="115"/>
      <c r="F7" s="115"/>
      <c r="G7" s="115"/>
      <c r="H7" s="115"/>
      <c r="I7" s="115"/>
      <c r="J7" s="115"/>
      <c r="K7" s="115"/>
      <c r="L7" s="93" t="s">
        <v>194</v>
      </c>
      <c r="M7" s="116"/>
      <c r="N7" s="116"/>
      <c r="O7" s="95" t="s">
        <v>232</v>
      </c>
      <c r="P7" s="96" t="s">
        <v>196</v>
      </c>
      <c r="Q7" s="121"/>
      <c r="R7" s="119"/>
      <c r="S7" s="120"/>
    </row>
    <row r="8" spans="2:19" ht="18">
      <c r="B8" s="114"/>
      <c r="C8" s="115"/>
      <c r="D8" s="115"/>
      <c r="E8" s="115"/>
      <c r="F8" s="115"/>
      <c r="G8" s="115"/>
      <c r="H8" s="115"/>
      <c r="I8" s="115"/>
      <c r="J8" s="115"/>
      <c r="K8" s="115"/>
      <c r="L8" s="116"/>
      <c r="M8" s="116"/>
      <c r="N8" s="116"/>
      <c r="O8" s="116"/>
      <c r="P8" s="110"/>
      <c r="Q8" s="118">
        <v>110</v>
      </c>
      <c r="R8" s="119"/>
      <c r="S8" s="120"/>
    </row>
    <row r="9" spans="2:19" ht="18">
      <c r="B9" s="114"/>
      <c r="C9" s="115"/>
      <c r="D9" s="115"/>
      <c r="E9" s="115"/>
      <c r="F9" s="115"/>
      <c r="G9" s="115"/>
      <c r="H9" s="115"/>
      <c r="I9" s="115"/>
      <c r="J9" s="115"/>
      <c r="K9" s="115"/>
      <c r="L9" s="153" t="s">
        <v>195</v>
      </c>
      <c r="M9" s="116"/>
      <c r="N9" s="99"/>
      <c r="O9" s="110"/>
      <c r="P9" s="98">
        <f>Price*O4</f>
        <v>277200</v>
      </c>
      <c r="Q9" s="122"/>
      <c r="R9" s="119"/>
      <c r="S9" s="120"/>
    </row>
    <row r="10" spans="2:19" ht="18">
      <c r="B10" s="114"/>
      <c r="C10" s="115"/>
      <c r="D10" s="115"/>
      <c r="E10" s="115"/>
      <c r="F10" s="115"/>
      <c r="G10" s="115"/>
      <c r="H10" s="115"/>
      <c r="I10" s="115"/>
      <c r="J10" s="115"/>
      <c r="K10" s="115"/>
      <c r="L10" s="148"/>
      <c r="M10" s="116"/>
      <c r="N10" s="116"/>
      <c r="O10" s="110"/>
      <c r="P10" s="111"/>
      <c r="Q10" s="122"/>
      <c r="R10" s="119"/>
      <c r="S10" s="120"/>
    </row>
    <row r="11" spans="2:19" ht="18">
      <c r="B11" s="114"/>
      <c r="C11" s="115"/>
      <c r="D11" s="115"/>
      <c r="E11" s="115"/>
      <c r="F11" s="115"/>
      <c r="G11" s="115"/>
      <c r="H11" s="115"/>
      <c r="I11" s="115"/>
      <c r="J11" s="115"/>
      <c r="K11" s="115"/>
      <c r="L11" s="94" t="s">
        <v>198</v>
      </c>
      <c r="M11" s="116"/>
      <c r="N11" s="116"/>
      <c r="O11" s="110"/>
      <c r="P11" s="111"/>
      <c r="Q11" s="122"/>
      <c r="R11" s="119"/>
      <c r="S11" s="120"/>
    </row>
    <row r="12" spans="2:19" ht="18">
      <c r="B12" s="114"/>
      <c r="C12" s="115"/>
      <c r="D12" s="115"/>
      <c r="E12" s="115"/>
      <c r="F12" s="115"/>
      <c r="G12" s="115"/>
      <c r="H12" s="115"/>
      <c r="I12" s="115"/>
      <c r="J12" s="115"/>
      <c r="K12" s="115"/>
      <c r="L12" s="149" t="s">
        <v>12</v>
      </c>
      <c r="M12" s="150"/>
      <c r="N12" s="116"/>
      <c r="O12" s="100">
        <v>30</v>
      </c>
      <c r="P12" s="123">
        <f>O12*Volume</f>
        <v>75600</v>
      </c>
      <c r="Q12" s="122"/>
      <c r="R12" s="119"/>
      <c r="S12" s="120"/>
    </row>
    <row r="13" spans="2:19" ht="18">
      <c r="B13" s="114"/>
      <c r="C13" s="115"/>
      <c r="D13" s="115"/>
      <c r="E13" s="115"/>
      <c r="F13" s="115"/>
      <c r="G13" s="115"/>
      <c r="H13" s="115"/>
      <c r="I13" s="115"/>
      <c r="J13" s="115"/>
      <c r="K13" s="115"/>
      <c r="L13" s="151"/>
      <c r="M13" s="150"/>
      <c r="N13" s="116"/>
      <c r="O13" s="124"/>
      <c r="P13" s="111"/>
      <c r="Q13" s="122"/>
      <c r="R13" s="119"/>
      <c r="S13" s="120"/>
    </row>
    <row r="14" spans="2:19" ht="18">
      <c r="B14" s="114"/>
      <c r="C14" s="115"/>
      <c r="D14" s="115"/>
      <c r="E14" s="115"/>
      <c r="F14" s="115"/>
      <c r="G14" s="115"/>
      <c r="H14" s="115"/>
      <c r="I14" s="115"/>
      <c r="J14" s="115"/>
      <c r="K14" s="115"/>
      <c r="L14" s="149" t="s">
        <v>231</v>
      </c>
      <c r="M14" s="150"/>
      <c r="N14" s="116"/>
      <c r="O14" s="100">
        <v>13</v>
      </c>
      <c r="P14" s="123">
        <f>O14*Volume</f>
        <v>32760</v>
      </c>
      <c r="Q14" s="122"/>
      <c r="R14" s="119"/>
      <c r="S14" s="120"/>
    </row>
    <row r="15" spans="2:19" ht="18">
      <c r="B15" s="114"/>
      <c r="C15" s="115"/>
      <c r="D15" s="115"/>
      <c r="E15" s="115"/>
      <c r="F15" s="115"/>
      <c r="G15" s="115"/>
      <c r="H15" s="115"/>
      <c r="I15" s="115"/>
      <c r="J15" s="115"/>
      <c r="K15" s="115"/>
      <c r="L15" s="151"/>
      <c r="M15" s="150"/>
      <c r="N15" s="116"/>
      <c r="O15" s="124"/>
      <c r="P15" s="111"/>
      <c r="Q15" s="122"/>
      <c r="R15" s="119"/>
      <c r="S15" s="120"/>
    </row>
    <row r="16" spans="2:19" ht="18">
      <c r="B16" s="114"/>
      <c r="C16" s="115"/>
      <c r="D16" s="115"/>
      <c r="E16" s="115"/>
      <c r="F16" s="115"/>
      <c r="G16" s="115"/>
      <c r="H16" s="115"/>
      <c r="I16" s="115"/>
      <c r="J16" s="115"/>
      <c r="K16" s="115"/>
      <c r="L16" s="149" t="s">
        <v>199</v>
      </c>
      <c r="M16" s="150"/>
      <c r="N16" s="116"/>
      <c r="O16" s="100">
        <v>20</v>
      </c>
      <c r="P16" s="123">
        <f>O16*Volume</f>
        <v>50400</v>
      </c>
      <c r="Q16" s="122"/>
      <c r="R16" s="119"/>
      <c r="S16" s="120"/>
    </row>
    <row r="17" spans="2:19" ht="18">
      <c r="B17" s="114"/>
      <c r="C17" s="115"/>
      <c r="D17" s="115"/>
      <c r="E17" s="115"/>
      <c r="F17" s="115"/>
      <c r="G17" s="115"/>
      <c r="H17" s="115"/>
      <c r="I17" s="115"/>
      <c r="J17" s="115"/>
      <c r="K17" s="115"/>
      <c r="L17" s="148"/>
      <c r="M17" s="116"/>
      <c r="N17" s="116"/>
      <c r="O17" s="110"/>
      <c r="P17" s="111"/>
      <c r="Q17" s="122"/>
      <c r="R17" s="119"/>
      <c r="S17" s="120"/>
    </row>
    <row r="18" spans="2:19" ht="18">
      <c r="B18" s="114"/>
      <c r="C18" s="115"/>
      <c r="D18" s="115"/>
      <c r="E18" s="115"/>
      <c r="F18" s="115"/>
      <c r="G18" s="115"/>
      <c r="H18" s="115"/>
      <c r="I18" s="115"/>
      <c r="J18" s="115"/>
      <c r="K18" s="115"/>
      <c r="L18" s="101" t="s">
        <v>200</v>
      </c>
      <c r="M18" s="116"/>
      <c r="N18" s="116"/>
      <c r="O18" s="125">
        <f>SUM(O12:O16)</f>
        <v>63</v>
      </c>
      <c r="P18" s="123">
        <f>SUM(P12:P16)</f>
        <v>158760</v>
      </c>
      <c r="Q18" s="122"/>
      <c r="R18" s="119"/>
      <c r="S18" s="120"/>
    </row>
    <row r="19" spans="2:19" ht="18">
      <c r="B19" s="114"/>
      <c r="C19" s="115"/>
      <c r="D19" s="115"/>
      <c r="E19" s="115"/>
      <c r="F19" s="115"/>
      <c r="G19" s="115"/>
      <c r="H19" s="115"/>
      <c r="I19" s="115"/>
      <c r="J19" s="115"/>
      <c r="K19" s="115"/>
      <c r="L19" s="148"/>
      <c r="M19" s="116"/>
      <c r="N19" s="116"/>
      <c r="O19" s="110"/>
      <c r="P19" s="111"/>
      <c r="Q19" s="122"/>
      <c r="R19" s="119"/>
      <c r="S19" s="120"/>
    </row>
    <row r="20" spans="2:19" ht="18">
      <c r="B20" s="114"/>
      <c r="C20" s="115"/>
      <c r="D20" s="115"/>
      <c r="E20" s="115"/>
      <c r="F20" s="115"/>
      <c r="G20" s="115"/>
      <c r="H20" s="115"/>
      <c r="I20" s="115"/>
      <c r="J20" s="115"/>
      <c r="K20" s="115"/>
      <c r="L20" s="94" t="s">
        <v>201</v>
      </c>
      <c r="M20" s="116"/>
      <c r="N20" s="116"/>
      <c r="O20" s="110"/>
      <c r="P20" s="111"/>
      <c r="Q20" s="126"/>
      <c r="R20" s="119"/>
      <c r="S20" s="120"/>
    </row>
    <row r="21" spans="2:19" ht="18">
      <c r="B21" s="114"/>
      <c r="C21" s="115"/>
      <c r="D21" s="115"/>
      <c r="E21" s="115"/>
      <c r="F21" s="115"/>
      <c r="G21" s="115"/>
      <c r="H21" s="115"/>
      <c r="I21" s="115"/>
      <c r="J21" s="115"/>
      <c r="K21" s="115"/>
      <c r="L21" s="149" t="s">
        <v>229</v>
      </c>
      <c r="M21" s="116"/>
      <c r="N21" s="116"/>
      <c r="O21" s="110"/>
      <c r="P21" s="123">
        <f>Q23*1000</f>
        <v>60000</v>
      </c>
      <c r="Q21" s="78">
        <v>10</v>
      </c>
      <c r="R21" s="119"/>
      <c r="S21" s="120"/>
    </row>
    <row r="22" spans="2:19" ht="18">
      <c r="B22" s="114"/>
      <c r="C22" s="115"/>
      <c r="D22" s="115"/>
      <c r="E22" s="115"/>
      <c r="F22" s="115"/>
      <c r="G22" s="115"/>
      <c r="H22" s="115"/>
      <c r="I22" s="115"/>
      <c r="J22" s="115"/>
      <c r="K22" s="115"/>
      <c r="L22" s="151"/>
      <c r="M22" s="116"/>
      <c r="N22" s="116"/>
      <c r="O22" s="110"/>
      <c r="P22" s="111"/>
      <c r="Q22" s="127"/>
      <c r="R22" s="119"/>
      <c r="S22" s="120"/>
    </row>
    <row r="23" spans="2:19" ht="18">
      <c r="B23" s="114"/>
      <c r="C23" s="115"/>
      <c r="D23" s="115"/>
      <c r="E23" s="115"/>
      <c r="F23" s="115"/>
      <c r="G23" s="115"/>
      <c r="H23" s="115"/>
      <c r="I23" s="115"/>
      <c r="J23" s="115"/>
      <c r="K23" s="115"/>
      <c r="L23" s="149" t="s">
        <v>117</v>
      </c>
      <c r="M23" s="116"/>
      <c r="N23" s="116"/>
      <c r="O23" s="110"/>
      <c r="P23" s="123">
        <f>Q21*1000</f>
        <v>10000</v>
      </c>
      <c r="Q23" s="78">
        <v>60</v>
      </c>
      <c r="R23" s="119"/>
      <c r="S23" s="120"/>
    </row>
    <row r="24" spans="2:19" ht="18">
      <c r="B24" s="114"/>
      <c r="C24" s="115"/>
      <c r="D24" s="115"/>
      <c r="E24" s="115"/>
      <c r="F24" s="115"/>
      <c r="G24" s="115"/>
      <c r="H24" s="115"/>
      <c r="I24" s="115"/>
      <c r="J24" s="115"/>
      <c r="K24" s="115"/>
      <c r="L24" s="151"/>
      <c r="M24" s="116"/>
      <c r="N24" s="116"/>
      <c r="O24" s="110"/>
      <c r="P24" s="111"/>
      <c r="Q24" s="127"/>
      <c r="R24" s="119"/>
      <c r="S24" s="120"/>
    </row>
    <row r="25" spans="2:19" ht="18">
      <c r="B25" s="114"/>
      <c r="C25" s="115"/>
      <c r="D25" s="115"/>
      <c r="E25" s="115"/>
      <c r="F25" s="115"/>
      <c r="G25" s="115"/>
      <c r="H25" s="115"/>
      <c r="I25" s="115"/>
      <c r="J25" s="115"/>
      <c r="K25" s="115"/>
      <c r="L25" s="149" t="s">
        <v>202</v>
      </c>
      <c r="M25" s="116"/>
      <c r="N25" s="116"/>
      <c r="O25" s="110"/>
      <c r="P25" s="123">
        <f>Q25*1000</f>
        <v>30000</v>
      </c>
      <c r="Q25" s="78">
        <v>30</v>
      </c>
      <c r="R25" s="119"/>
      <c r="S25" s="120"/>
    </row>
    <row r="26" spans="2:19" ht="18">
      <c r="B26" s="114"/>
      <c r="C26" s="115"/>
      <c r="D26" s="115"/>
      <c r="E26" s="115"/>
      <c r="F26" s="115"/>
      <c r="G26" s="115"/>
      <c r="H26" s="115"/>
      <c r="I26" s="115"/>
      <c r="J26" s="115"/>
      <c r="K26" s="115"/>
      <c r="L26" s="148"/>
      <c r="M26" s="116"/>
      <c r="N26" s="116"/>
      <c r="O26" s="116"/>
      <c r="P26" s="128"/>
      <c r="Q26" s="129"/>
      <c r="R26" s="119"/>
      <c r="S26" s="120"/>
    </row>
    <row r="27" spans="2:19" ht="18">
      <c r="B27" s="114"/>
      <c r="C27" s="115"/>
      <c r="D27" s="115"/>
      <c r="E27" s="115"/>
      <c r="F27" s="115"/>
      <c r="G27" s="115"/>
      <c r="H27" s="115"/>
      <c r="I27" s="115"/>
      <c r="J27" s="115"/>
      <c r="K27" s="115"/>
      <c r="L27" s="101" t="s">
        <v>203</v>
      </c>
      <c r="M27" s="116"/>
      <c r="N27" s="116"/>
      <c r="O27" s="116"/>
      <c r="P27" s="130">
        <f>SUM(P21:P25)</f>
        <v>100000</v>
      </c>
      <c r="Q27" s="122"/>
      <c r="R27" s="131"/>
      <c r="S27" s="120"/>
    </row>
    <row r="28" spans="2:19" ht="18">
      <c r="B28" s="114"/>
      <c r="C28" s="115"/>
      <c r="D28" s="115"/>
      <c r="E28" s="115"/>
      <c r="F28" s="115"/>
      <c r="G28" s="115"/>
      <c r="H28" s="115"/>
      <c r="I28" s="115"/>
      <c r="J28" s="115"/>
      <c r="K28" s="115"/>
      <c r="L28" s="148"/>
      <c r="M28" s="116"/>
      <c r="N28" s="116"/>
      <c r="O28" s="116"/>
      <c r="P28" s="128"/>
      <c r="Q28" s="122"/>
      <c r="R28" s="131"/>
      <c r="S28" s="132"/>
    </row>
    <row r="29" spans="2:19" ht="18">
      <c r="B29" s="114"/>
      <c r="C29" s="115"/>
      <c r="D29" s="115"/>
      <c r="E29" s="115"/>
      <c r="F29" s="115"/>
      <c r="G29" s="115"/>
      <c r="H29" s="115"/>
      <c r="I29" s="115"/>
      <c r="J29" s="115"/>
      <c r="K29" s="115"/>
      <c r="L29" s="152" t="s">
        <v>204</v>
      </c>
      <c r="M29" s="116"/>
      <c r="N29" s="116"/>
      <c r="O29" s="116"/>
      <c r="P29" s="130">
        <f>P18+P27</f>
        <v>258760</v>
      </c>
      <c r="Q29" s="122"/>
      <c r="R29" s="131"/>
      <c r="S29" s="133"/>
    </row>
    <row r="30" spans="2:19" ht="18">
      <c r="B30" s="114"/>
      <c r="C30" s="115"/>
      <c r="D30" s="115"/>
      <c r="E30" s="115"/>
      <c r="F30" s="115"/>
      <c r="G30" s="115"/>
      <c r="H30" s="115"/>
      <c r="I30" s="115"/>
      <c r="J30" s="115"/>
      <c r="K30" s="115"/>
      <c r="L30" s="148"/>
      <c r="M30" s="116"/>
      <c r="N30" s="116"/>
      <c r="O30" s="116"/>
      <c r="P30" s="128"/>
      <c r="Q30" s="122"/>
      <c r="R30" s="131"/>
      <c r="S30" s="133"/>
    </row>
    <row r="31" spans="2:19" ht="18">
      <c r="B31" s="114"/>
      <c r="C31" s="115"/>
      <c r="D31" s="115"/>
      <c r="E31" s="116"/>
      <c r="F31" s="116"/>
      <c r="G31" s="142" t="s">
        <v>205</v>
      </c>
      <c r="H31" s="116"/>
      <c r="I31" s="116"/>
      <c r="J31" s="115"/>
      <c r="K31" s="115"/>
      <c r="L31" s="102" t="s">
        <v>206</v>
      </c>
      <c r="M31" s="116"/>
      <c r="N31" s="116"/>
      <c r="O31" s="116"/>
      <c r="P31" s="130">
        <f>P9-P29</f>
        <v>18440</v>
      </c>
      <c r="Q31" s="122"/>
      <c r="R31" s="131"/>
      <c r="S31" s="133"/>
    </row>
    <row r="32" spans="2:19" ht="18">
      <c r="B32" s="114"/>
      <c r="C32" s="115"/>
      <c r="D32" s="115"/>
      <c r="E32" s="116"/>
      <c r="F32" s="116"/>
      <c r="G32" s="116"/>
      <c r="H32" s="116"/>
      <c r="I32" s="116"/>
      <c r="J32" s="115"/>
      <c r="K32" s="115"/>
      <c r="L32" s="102" t="s">
        <v>230</v>
      </c>
      <c r="M32" s="116"/>
      <c r="N32" s="116"/>
      <c r="O32" s="116"/>
      <c r="P32" s="134">
        <f>P31/P9</f>
        <v>6.6522366522366524E-2</v>
      </c>
      <c r="Q32" s="122"/>
      <c r="R32" s="131"/>
      <c r="S32" s="133"/>
    </row>
    <row r="33" spans="2:20" ht="18">
      <c r="B33" s="114"/>
      <c r="C33" s="115"/>
      <c r="D33" s="115"/>
      <c r="E33" s="142" t="s">
        <v>207</v>
      </c>
      <c r="F33" s="143">
        <f>Volume</f>
        <v>2520</v>
      </c>
      <c r="G33" s="144" t="s">
        <v>208</v>
      </c>
      <c r="H33" s="145">
        <f>P9-P29</f>
        <v>18440</v>
      </c>
      <c r="I33" s="116"/>
      <c r="J33" s="115"/>
      <c r="K33" s="115"/>
      <c r="L33" s="115"/>
      <c r="M33" s="115"/>
      <c r="N33" s="115"/>
      <c r="O33" s="115"/>
      <c r="P33" s="135"/>
      <c r="Q33" s="122"/>
      <c r="R33" s="131"/>
      <c r="S33" s="133"/>
    </row>
    <row r="34" spans="2:20" ht="18">
      <c r="B34" s="114"/>
      <c r="C34" s="115"/>
      <c r="D34" s="115"/>
      <c r="E34" s="146" t="s">
        <v>209</v>
      </c>
      <c r="F34" s="146"/>
      <c r="G34" s="146"/>
      <c r="H34" s="147">
        <f>INT(P27/(Price-SUM(O12:O16)))</f>
        <v>2127</v>
      </c>
      <c r="I34" s="146" t="s">
        <v>210</v>
      </c>
      <c r="J34" s="115"/>
      <c r="K34" s="115"/>
      <c r="L34" s="115"/>
      <c r="M34" s="115"/>
      <c r="N34" s="115"/>
      <c r="O34" s="115"/>
      <c r="P34" s="135"/>
      <c r="Q34" s="122"/>
      <c r="R34" s="131"/>
      <c r="S34" s="133"/>
    </row>
    <row r="35" spans="2:20" ht="18">
      <c r="B35" s="114"/>
      <c r="C35" s="115"/>
      <c r="D35" s="115"/>
      <c r="E35" s="116"/>
      <c r="F35" s="116"/>
      <c r="G35" s="116"/>
      <c r="H35" s="116"/>
      <c r="I35" s="116"/>
      <c r="J35" s="115"/>
      <c r="K35" s="115"/>
      <c r="L35" s="115"/>
      <c r="M35" s="115"/>
      <c r="N35" s="115"/>
      <c r="O35" s="115"/>
      <c r="P35" s="135"/>
      <c r="Q35" s="122"/>
      <c r="R35" s="131"/>
      <c r="S35" s="133"/>
    </row>
    <row r="36" spans="2:20" ht="15">
      <c r="B36" s="114"/>
      <c r="C36" s="115"/>
      <c r="D36" s="115"/>
      <c r="E36" s="115"/>
      <c r="F36" s="115"/>
      <c r="G36" s="115"/>
      <c r="H36" s="115"/>
      <c r="I36" s="115"/>
      <c r="J36" s="115"/>
      <c r="K36" s="115"/>
      <c r="L36" s="115"/>
      <c r="M36" s="115"/>
      <c r="N36" s="115"/>
      <c r="O36" s="115"/>
      <c r="P36" s="135"/>
      <c r="Q36" s="122"/>
      <c r="R36" s="131"/>
      <c r="S36" s="133"/>
    </row>
    <row r="37" spans="2:20" ht="16" thickBot="1">
      <c r="B37" s="136"/>
      <c r="C37" s="137"/>
      <c r="D37" s="137"/>
      <c r="E37" s="137"/>
      <c r="F37" s="137"/>
      <c r="G37" s="137"/>
      <c r="H37" s="137"/>
      <c r="I37" s="137"/>
      <c r="J37" s="137"/>
      <c r="K37" s="137"/>
      <c r="L37" s="137"/>
      <c r="M37" s="137"/>
      <c r="N37" s="137"/>
      <c r="O37" s="137"/>
      <c r="P37" s="138"/>
      <c r="Q37" s="137"/>
      <c r="R37" s="139"/>
      <c r="S37" s="140"/>
    </row>
    <row r="38" spans="2:20" ht="15">
      <c r="B38" s="141"/>
      <c r="C38" s="141"/>
      <c r="D38" s="141"/>
      <c r="E38" s="141"/>
      <c r="F38" s="141"/>
      <c r="G38" s="141"/>
      <c r="H38" s="141"/>
      <c r="I38" s="141"/>
      <c r="J38" s="141"/>
      <c r="K38" s="141"/>
      <c r="L38" s="141"/>
      <c r="M38" s="141"/>
      <c r="N38" s="141"/>
      <c r="O38" s="141"/>
      <c r="P38" s="141"/>
      <c r="Q38" s="141"/>
      <c r="R38" s="141"/>
      <c r="S38" s="141"/>
      <c r="T38" s="79"/>
    </row>
    <row r="39" spans="2:20" ht="12">
      <c r="B39" s="80"/>
      <c r="C39" s="80"/>
      <c r="D39" s="80"/>
      <c r="E39" s="80"/>
      <c r="F39" s="80"/>
      <c r="G39" s="80"/>
      <c r="H39" s="80"/>
      <c r="I39" s="80"/>
      <c r="J39" s="80"/>
      <c r="K39" s="80"/>
      <c r="L39" s="80"/>
      <c r="M39" s="80"/>
      <c r="N39" s="80"/>
      <c r="O39" s="80"/>
      <c r="P39" s="80"/>
      <c r="Q39" s="80"/>
      <c r="R39" s="80"/>
      <c r="S39" s="80"/>
      <c r="T39" s="79"/>
    </row>
    <row r="40" spans="2:20" ht="12">
      <c r="B40" s="80"/>
      <c r="C40" s="80"/>
      <c r="D40" s="80"/>
      <c r="E40" s="80"/>
      <c r="F40" s="80"/>
      <c r="G40" s="80"/>
      <c r="H40" s="80"/>
      <c r="I40" s="80"/>
      <c r="J40" s="80"/>
      <c r="K40" s="80"/>
      <c r="L40" s="80"/>
      <c r="M40" s="80"/>
      <c r="N40" s="80"/>
      <c r="O40" s="80"/>
      <c r="P40" s="80"/>
      <c r="Q40" s="80"/>
      <c r="R40" s="80"/>
      <c r="S40" s="80"/>
      <c r="T40" s="79"/>
    </row>
    <row r="41" spans="2:20" ht="12">
      <c r="B41" s="84"/>
      <c r="C41" s="84"/>
      <c r="D41" s="84"/>
      <c r="E41" s="84"/>
      <c r="F41" s="84"/>
      <c r="G41" s="84"/>
      <c r="H41" s="84"/>
      <c r="I41" s="84"/>
      <c r="J41" s="84"/>
      <c r="K41" s="84"/>
      <c r="L41" s="84"/>
      <c r="M41" s="84"/>
      <c r="N41" s="84"/>
      <c r="O41" s="84"/>
      <c r="P41" s="84"/>
      <c r="Q41" s="84"/>
      <c r="R41" s="84"/>
      <c r="S41" s="84"/>
    </row>
    <row r="42" spans="2:20" s="79" customFormat="1" ht="12">
      <c r="B42" s="80"/>
      <c r="C42" s="80"/>
      <c r="D42" s="81">
        <f>1/8</f>
        <v>0.125</v>
      </c>
      <c r="E42" s="81">
        <f>2*$D42</f>
        <v>0.25</v>
      </c>
      <c r="F42" s="81">
        <f>3*$D42</f>
        <v>0.375</v>
      </c>
      <c r="G42" s="81">
        <f>4*$D42</f>
        <v>0.5</v>
      </c>
      <c r="H42" s="81">
        <f>5*$D42</f>
        <v>0.625</v>
      </c>
      <c r="I42" s="81">
        <f>6*$D42</f>
        <v>0.75</v>
      </c>
      <c r="J42" s="81">
        <f>7*$D42</f>
        <v>0.875</v>
      </c>
      <c r="K42" s="81">
        <f>8*$D42</f>
        <v>1</v>
      </c>
      <c r="L42" s="81">
        <f>9*$D42</f>
        <v>1.125</v>
      </c>
      <c r="M42" s="81">
        <f>10*$D42</f>
        <v>1.25</v>
      </c>
      <c r="N42" s="81">
        <f>11*$D42</f>
        <v>1.375</v>
      </c>
      <c r="O42" s="81">
        <f>12*$D42</f>
        <v>1.5</v>
      </c>
      <c r="P42" s="81">
        <f>13*$D42</f>
        <v>1.625</v>
      </c>
      <c r="Q42" s="81">
        <f>14*$D42</f>
        <v>1.75</v>
      </c>
      <c r="R42" s="81">
        <f>14*$D42</f>
        <v>1.75</v>
      </c>
      <c r="S42" s="81">
        <f>15*$D42</f>
        <v>1.875</v>
      </c>
    </row>
    <row r="43" spans="2:20" s="79" customFormat="1" ht="12">
      <c r="B43" s="80" t="s">
        <v>205</v>
      </c>
      <c r="C43" s="80"/>
      <c r="D43" s="82">
        <f t="shared" ref="D43:S43" si="0">D42*Volume</f>
        <v>315</v>
      </c>
      <c r="E43" s="82">
        <f t="shared" si="0"/>
        <v>630</v>
      </c>
      <c r="F43" s="82">
        <f t="shared" si="0"/>
        <v>945</v>
      </c>
      <c r="G43" s="82">
        <f t="shared" si="0"/>
        <v>1260</v>
      </c>
      <c r="H43" s="82">
        <f t="shared" si="0"/>
        <v>1575</v>
      </c>
      <c r="I43" s="82">
        <f t="shared" si="0"/>
        <v>1890</v>
      </c>
      <c r="J43" s="82">
        <f t="shared" si="0"/>
        <v>2205</v>
      </c>
      <c r="K43" s="82">
        <f t="shared" si="0"/>
        <v>2520</v>
      </c>
      <c r="L43" s="82">
        <f t="shared" si="0"/>
        <v>2835</v>
      </c>
      <c r="M43" s="82">
        <f t="shared" si="0"/>
        <v>3150</v>
      </c>
      <c r="N43" s="82">
        <f t="shared" si="0"/>
        <v>3465</v>
      </c>
      <c r="O43" s="82">
        <f t="shared" si="0"/>
        <v>3780</v>
      </c>
      <c r="P43" s="82">
        <f t="shared" si="0"/>
        <v>4095</v>
      </c>
      <c r="Q43" s="82">
        <f t="shared" si="0"/>
        <v>4410</v>
      </c>
      <c r="R43" s="82">
        <f t="shared" si="0"/>
        <v>4410</v>
      </c>
      <c r="S43" s="82">
        <f t="shared" si="0"/>
        <v>4725</v>
      </c>
    </row>
    <row r="44" spans="2:20" s="79" customFormat="1" ht="12">
      <c r="B44" s="80" t="s">
        <v>28</v>
      </c>
      <c r="C44" s="80"/>
      <c r="D44" s="82">
        <f t="shared" ref="D44:S44" si="1">D42*$P9</f>
        <v>34650</v>
      </c>
      <c r="E44" s="82">
        <f t="shared" si="1"/>
        <v>69300</v>
      </c>
      <c r="F44" s="82">
        <f t="shared" si="1"/>
        <v>103950</v>
      </c>
      <c r="G44" s="82">
        <f t="shared" si="1"/>
        <v>138600</v>
      </c>
      <c r="H44" s="82">
        <f t="shared" si="1"/>
        <v>173250</v>
      </c>
      <c r="I44" s="82">
        <f t="shared" si="1"/>
        <v>207900</v>
      </c>
      <c r="J44" s="82">
        <f t="shared" si="1"/>
        <v>242550</v>
      </c>
      <c r="K44" s="82">
        <f t="shared" si="1"/>
        <v>277200</v>
      </c>
      <c r="L44" s="82">
        <f t="shared" si="1"/>
        <v>311850</v>
      </c>
      <c r="M44" s="82">
        <f t="shared" si="1"/>
        <v>346500</v>
      </c>
      <c r="N44" s="82">
        <f t="shared" si="1"/>
        <v>381150</v>
      </c>
      <c r="O44" s="82">
        <f t="shared" si="1"/>
        <v>415800</v>
      </c>
      <c r="P44" s="82">
        <f t="shared" si="1"/>
        <v>450450</v>
      </c>
      <c r="Q44" s="82">
        <f t="shared" si="1"/>
        <v>485100</v>
      </c>
      <c r="R44" s="82">
        <f t="shared" si="1"/>
        <v>485100</v>
      </c>
      <c r="S44" s="82">
        <f t="shared" si="1"/>
        <v>519750</v>
      </c>
    </row>
    <row r="45" spans="2:20" s="79" customFormat="1" ht="12">
      <c r="B45" s="80" t="s">
        <v>211</v>
      </c>
      <c r="C45" s="80"/>
      <c r="D45" s="82">
        <f>P27</f>
        <v>100000</v>
      </c>
      <c r="E45" s="82">
        <f>D45</f>
        <v>100000</v>
      </c>
      <c r="F45" s="82">
        <f t="shared" ref="F45:L45" si="2">E45</f>
        <v>100000</v>
      </c>
      <c r="G45" s="82">
        <f t="shared" si="2"/>
        <v>100000</v>
      </c>
      <c r="H45" s="82">
        <f t="shared" si="2"/>
        <v>100000</v>
      </c>
      <c r="I45" s="82">
        <f t="shared" si="2"/>
        <v>100000</v>
      </c>
      <c r="J45" s="82">
        <f t="shared" si="2"/>
        <v>100000</v>
      </c>
      <c r="K45" s="82">
        <f t="shared" si="2"/>
        <v>100000</v>
      </c>
      <c r="L45" s="82">
        <f t="shared" si="2"/>
        <v>100000</v>
      </c>
      <c r="M45" s="82">
        <f>K45</f>
        <v>100000</v>
      </c>
      <c r="N45" s="82">
        <f t="shared" ref="N45:S45" si="3">M45</f>
        <v>100000</v>
      </c>
      <c r="O45" s="82">
        <f t="shared" si="3"/>
        <v>100000</v>
      </c>
      <c r="P45" s="82">
        <f t="shared" si="3"/>
        <v>100000</v>
      </c>
      <c r="Q45" s="82">
        <f t="shared" si="3"/>
        <v>100000</v>
      </c>
      <c r="R45" s="82">
        <f t="shared" si="3"/>
        <v>100000</v>
      </c>
      <c r="S45" s="82">
        <f t="shared" si="3"/>
        <v>100000</v>
      </c>
    </row>
    <row r="46" spans="2:20" s="79" customFormat="1" ht="12">
      <c r="B46" s="80" t="s">
        <v>212</v>
      </c>
      <c r="C46" s="80"/>
      <c r="D46" s="82">
        <f t="shared" ref="D46:S46" si="4">$P$27+$P$18*D42</f>
        <v>119845</v>
      </c>
      <c r="E46" s="82">
        <f t="shared" si="4"/>
        <v>139690</v>
      </c>
      <c r="F46" s="82">
        <f t="shared" si="4"/>
        <v>159535</v>
      </c>
      <c r="G46" s="82">
        <f t="shared" si="4"/>
        <v>179380</v>
      </c>
      <c r="H46" s="82">
        <f t="shared" si="4"/>
        <v>199225</v>
      </c>
      <c r="I46" s="82">
        <f t="shared" si="4"/>
        <v>219070</v>
      </c>
      <c r="J46" s="82">
        <f t="shared" si="4"/>
        <v>238915</v>
      </c>
      <c r="K46" s="82">
        <f t="shared" si="4"/>
        <v>258760</v>
      </c>
      <c r="L46" s="82">
        <f t="shared" si="4"/>
        <v>278605</v>
      </c>
      <c r="M46" s="82">
        <f t="shared" si="4"/>
        <v>298450</v>
      </c>
      <c r="N46" s="82">
        <f t="shared" si="4"/>
        <v>318295</v>
      </c>
      <c r="O46" s="82">
        <f t="shared" si="4"/>
        <v>338140</v>
      </c>
      <c r="P46" s="82">
        <f t="shared" si="4"/>
        <v>357985</v>
      </c>
      <c r="Q46" s="82">
        <f t="shared" si="4"/>
        <v>377830</v>
      </c>
      <c r="R46" s="82">
        <f t="shared" si="4"/>
        <v>377830</v>
      </c>
      <c r="S46" s="82">
        <f t="shared" si="4"/>
        <v>397675</v>
      </c>
    </row>
    <row r="47" spans="2:20" ht="12">
      <c r="B47" s="80"/>
      <c r="C47" s="80"/>
      <c r="D47" s="80"/>
      <c r="E47" s="80"/>
      <c r="F47" s="80"/>
      <c r="G47" s="80"/>
      <c r="H47" s="80"/>
      <c r="I47" s="80"/>
      <c r="J47" s="80"/>
      <c r="K47" s="80"/>
      <c r="L47" s="80"/>
      <c r="M47" s="80"/>
      <c r="N47" s="80"/>
      <c r="O47" s="80"/>
      <c r="P47" s="80"/>
      <c r="Q47" s="80"/>
      <c r="R47" s="80"/>
      <c r="S47" s="80"/>
      <c r="T47" s="79"/>
    </row>
    <row r="48" spans="2:20" ht="12">
      <c r="B48" s="80"/>
      <c r="C48" s="80"/>
      <c r="D48" s="80"/>
      <c r="E48" s="80"/>
      <c r="F48" s="80"/>
      <c r="G48" s="80"/>
      <c r="H48" s="80"/>
      <c r="I48" s="80"/>
      <c r="J48" s="80"/>
      <c r="K48" s="80"/>
      <c r="L48" s="80"/>
      <c r="M48" s="80"/>
      <c r="N48" s="80"/>
      <c r="O48" s="80"/>
      <c r="P48" s="82"/>
      <c r="Q48" s="83"/>
      <c r="R48" s="83"/>
      <c r="S48" s="80"/>
      <c r="T48" s="79"/>
    </row>
    <row r="49" spans="2:19" ht="12">
      <c r="B49" s="84"/>
      <c r="C49" s="84"/>
      <c r="D49" s="84"/>
      <c r="E49" s="84"/>
      <c r="F49" s="84"/>
      <c r="G49" s="84"/>
      <c r="H49" s="84"/>
      <c r="I49" s="84"/>
      <c r="J49" s="84"/>
      <c r="K49" s="84"/>
      <c r="L49" s="84"/>
      <c r="M49" s="84"/>
      <c r="N49" s="84"/>
      <c r="O49" s="84"/>
      <c r="P49" s="84"/>
      <c r="Q49" s="84"/>
      <c r="R49" s="84"/>
      <c r="S49" s="84"/>
    </row>
    <row r="50" spans="2:19" ht="12">
      <c r="B50" s="84"/>
      <c r="C50" s="84"/>
      <c r="D50" s="84"/>
      <c r="E50" s="84"/>
      <c r="F50" s="84"/>
      <c r="G50" s="84"/>
      <c r="H50" s="84"/>
      <c r="I50" s="84"/>
      <c r="J50" s="84"/>
      <c r="K50" s="84"/>
      <c r="L50" s="84"/>
      <c r="M50" s="84"/>
      <c r="N50" s="84"/>
      <c r="O50" s="84"/>
      <c r="P50" s="84"/>
      <c r="Q50" s="84"/>
      <c r="R50" s="84"/>
      <c r="S50" s="84"/>
    </row>
    <row r="51" spans="2:19">
      <c r="B51" s="75"/>
      <c r="C51" s="67"/>
      <c r="E51" s="86"/>
    </row>
    <row r="52" spans="2:19">
      <c r="B52" s="75"/>
      <c r="C52" s="67"/>
      <c r="E52" s="86"/>
    </row>
    <row r="53" spans="2:19">
      <c r="B53" s="75"/>
      <c r="C53" s="67"/>
      <c r="E53" s="86"/>
    </row>
    <row r="54" spans="2:19">
      <c r="B54" s="75"/>
      <c r="C54" s="67"/>
      <c r="E54" s="86"/>
    </row>
  </sheetData>
  <sheetProtection sheet="1" objects="1" scenarios="1" selectLockedCells="1" selectUnlockedCells="1"/>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2289" r:id="rId3" name="Scroll Bar 1">
              <controlPr defaultSize="0" print="0" autoPict="0">
                <anchor moveWithCells="1">
                  <from>
                    <xdr:col>17</xdr:col>
                    <xdr:colOff>139700</xdr:colOff>
                    <xdr:row>3</xdr:row>
                    <xdr:rowOff>12700</xdr:rowOff>
                  </from>
                  <to>
                    <xdr:col>18</xdr:col>
                    <xdr:colOff>419100</xdr:colOff>
                    <xdr:row>3</xdr:row>
                    <xdr:rowOff>203200</xdr:rowOff>
                  </to>
                </anchor>
              </controlPr>
            </control>
          </mc:Choice>
          <mc:Fallback/>
        </mc:AlternateContent>
        <mc:AlternateContent xmlns:mc="http://schemas.openxmlformats.org/markup-compatibility/2006">
          <mc:Choice Requires="x14">
            <control shapeId="12290" r:id="rId4" name="Scroll Bar 2">
              <controlPr defaultSize="0" print="0" autoPict="0">
                <anchor moveWithCells="1">
                  <from>
                    <xdr:col>17</xdr:col>
                    <xdr:colOff>139700</xdr:colOff>
                    <xdr:row>4</xdr:row>
                    <xdr:rowOff>38100</xdr:rowOff>
                  </from>
                  <to>
                    <xdr:col>18</xdr:col>
                    <xdr:colOff>419100</xdr:colOff>
                    <xdr:row>5</xdr:row>
                    <xdr:rowOff>12700</xdr:rowOff>
                  </to>
                </anchor>
              </controlPr>
            </control>
          </mc:Choice>
          <mc:Fallback/>
        </mc:AlternateContent>
        <mc:AlternateContent xmlns:mc="http://schemas.openxmlformats.org/markup-compatibility/2006">
          <mc:Choice Requires="x14">
            <control shapeId="12291" r:id="rId5" name="Scroll Bar 3">
              <controlPr defaultSize="0" print="0" autoPict="0">
                <anchor moveWithCells="1">
                  <from>
                    <xdr:col>17</xdr:col>
                    <xdr:colOff>139700</xdr:colOff>
                    <xdr:row>10</xdr:row>
                    <xdr:rowOff>215900</xdr:rowOff>
                  </from>
                  <to>
                    <xdr:col>18</xdr:col>
                    <xdr:colOff>419100</xdr:colOff>
                    <xdr:row>11</xdr:row>
                    <xdr:rowOff>177800</xdr:rowOff>
                  </to>
                </anchor>
              </controlPr>
            </control>
          </mc:Choice>
          <mc:Fallback/>
        </mc:AlternateContent>
        <mc:AlternateContent xmlns:mc="http://schemas.openxmlformats.org/markup-compatibility/2006">
          <mc:Choice Requires="x14">
            <control shapeId="12292" r:id="rId6" name="Scroll Bar 4">
              <controlPr defaultSize="0" print="0" autoPict="0">
                <anchor moveWithCells="1">
                  <from>
                    <xdr:col>17</xdr:col>
                    <xdr:colOff>139700</xdr:colOff>
                    <xdr:row>12</xdr:row>
                    <xdr:rowOff>215900</xdr:rowOff>
                  </from>
                  <to>
                    <xdr:col>18</xdr:col>
                    <xdr:colOff>419100</xdr:colOff>
                    <xdr:row>13</xdr:row>
                    <xdr:rowOff>177800</xdr:rowOff>
                  </to>
                </anchor>
              </controlPr>
            </control>
          </mc:Choice>
          <mc:Fallback/>
        </mc:AlternateContent>
        <mc:AlternateContent xmlns:mc="http://schemas.openxmlformats.org/markup-compatibility/2006">
          <mc:Choice Requires="x14">
            <control shapeId="12293" r:id="rId7" name="Scroll Bar 5">
              <controlPr defaultSize="0" print="0" autoPict="0">
                <anchor moveWithCells="1">
                  <from>
                    <xdr:col>17</xdr:col>
                    <xdr:colOff>139700</xdr:colOff>
                    <xdr:row>22</xdr:row>
                    <xdr:rowOff>0</xdr:rowOff>
                  </from>
                  <to>
                    <xdr:col>18</xdr:col>
                    <xdr:colOff>419100</xdr:colOff>
                    <xdr:row>22</xdr:row>
                    <xdr:rowOff>190500</xdr:rowOff>
                  </to>
                </anchor>
              </controlPr>
            </control>
          </mc:Choice>
          <mc:Fallback/>
        </mc:AlternateContent>
        <mc:AlternateContent xmlns:mc="http://schemas.openxmlformats.org/markup-compatibility/2006">
          <mc:Choice Requires="x14">
            <control shapeId="12294" r:id="rId8" name="Scroll Bar 6">
              <controlPr defaultSize="0" print="0" autoPict="0">
                <anchor moveWithCells="1">
                  <from>
                    <xdr:col>17</xdr:col>
                    <xdr:colOff>139700</xdr:colOff>
                    <xdr:row>14</xdr:row>
                    <xdr:rowOff>215900</xdr:rowOff>
                  </from>
                  <to>
                    <xdr:col>18</xdr:col>
                    <xdr:colOff>419100</xdr:colOff>
                    <xdr:row>15</xdr:row>
                    <xdr:rowOff>177800</xdr:rowOff>
                  </to>
                </anchor>
              </controlPr>
            </control>
          </mc:Choice>
          <mc:Fallback/>
        </mc:AlternateContent>
        <mc:AlternateContent xmlns:mc="http://schemas.openxmlformats.org/markup-compatibility/2006">
          <mc:Choice Requires="x14">
            <control shapeId="12295" r:id="rId9" name="Scroll Bar 7">
              <controlPr defaultSize="0" print="0" autoPict="0">
                <anchor moveWithCells="1">
                  <from>
                    <xdr:col>17</xdr:col>
                    <xdr:colOff>139700</xdr:colOff>
                    <xdr:row>19</xdr:row>
                    <xdr:rowOff>215900</xdr:rowOff>
                  </from>
                  <to>
                    <xdr:col>18</xdr:col>
                    <xdr:colOff>419100</xdr:colOff>
                    <xdr:row>20</xdr:row>
                    <xdr:rowOff>177800</xdr:rowOff>
                  </to>
                </anchor>
              </controlPr>
            </control>
          </mc:Choice>
          <mc:Fallback/>
        </mc:AlternateContent>
        <mc:AlternateContent xmlns:mc="http://schemas.openxmlformats.org/markup-compatibility/2006">
          <mc:Choice Requires="x14">
            <control shapeId="12296" r:id="rId10" name="Scroll Bar 8">
              <controlPr defaultSize="0" print="0" autoPict="0">
                <anchor moveWithCells="1">
                  <from>
                    <xdr:col>17</xdr:col>
                    <xdr:colOff>139700</xdr:colOff>
                    <xdr:row>24</xdr:row>
                    <xdr:rowOff>0</xdr:rowOff>
                  </from>
                  <to>
                    <xdr:col>18</xdr:col>
                    <xdr:colOff>419100</xdr:colOff>
                    <xdr:row>24</xdr:row>
                    <xdr:rowOff>190500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59999389629810485"/>
  </sheetPr>
  <dimension ref="A1:A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1" customWidth="1"/>
    <col min="2" max="2" width="4.83203125" style="1" customWidth="1"/>
    <col min="3" max="6" width="6" style="1" customWidth="1"/>
    <col min="7" max="7" width="3.6640625" style="1" customWidth="1"/>
    <col min="8" max="16384" width="8.83203125" style="1"/>
  </cols>
  <sheetData>
    <row r="1" ht="100" customHeight="1"/>
    <row r="3"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9" ht="12.75" customHeight="1"/>
    <row r="20" ht="12.75" customHeight="1"/>
    <row r="21" ht="12.75" customHeight="1"/>
    <row r="22"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dimension ref="B1:AJ35"/>
  <sheetViews>
    <sheetView showGridLines="0" showRowColHeaders="0" zoomScale="80" zoomScaleNormal="80" zoomScalePageLayoutView="80" workbookViewId="0">
      <selection activeCell="M21" sqref="M21"/>
    </sheetView>
  </sheetViews>
  <sheetFormatPr baseColWidth="10" defaultColWidth="8.83203125" defaultRowHeight="18" x14ac:dyDescent="0"/>
  <cols>
    <col min="1" max="1" width="8.83203125" style="12"/>
    <col min="2" max="2" width="36" style="9" customWidth="1"/>
    <col min="3" max="3" width="13.6640625" style="10" customWidth="1"/>
    <col min="4" max="4" width="3.6640625" style="10" customWidth="1"/>
    <col min="5" max="5" width="13.6640625" style="11" customWidth="1"/>
    <col min="6" max="7" width="13.6640625" style="10" customWidth="1"/>
    <col min="8" max="8" width="3.6640625" style="10" customWidth="1"/>
    <col min="9" max="10" width="13.5" style="10" customWidth="1"/>
    <col min="11" max="11" width="8.83203125" style="12"/>
    <col min="12" max="12" width="36.6640625" style="12" customWidth="1"/>
    <col min="13" max="13" width="16.83203125" style="11" customWidth="1"/>
    <col min="14" max="14" width="13.5" style="10" customWidth="1"/>
    <col min="15" max="16384" width="8.83203125" style="12"/>
  </cols>
  <sheetData>
    <row r="1" spans="2:36" ht="100" customHeight="1"/>
    <row r="2" spans="2:36" ht="38.25" customHeight="1">
      <c r="B2" s="29" t="s">
        <v>152</v>
      </c>
      <c r="C2" s="207" t="s">
        <v>151</v>
      </c>
      <c r="D2" s="207"/>
      <c r="E2" s="207"/>
      <c r="F2" s="207"/>
      <c r="I2" s="12"/>
      <c r="J2" s="13"/>
      <c r="M2" s="27"/>
      <c r="N2" s="12"/>
    </row>
    <row r="4" spans="2:36" s="9" customFormat="1">
      <c r="B4" s="9" t="s">
        <v>0</v>
      </c>
      <c r="C4" s="197"/>
      <c r="D4" s="198"/>
      <c r="E4" s="206" t="s">
        <v>235</v>
      </c>
      <c r="F4" s="206"/>
      <c r="G4" s="206"/>
      <c r="H4" s="198"/>
      <c r="I4" s="197"/>
      <c r="J4" s="197"/>
      <c r="K4" s="199"/>
      <c r="L4" s="199"/>
      <c r="M4" s="200"/>
      <c r="N4" s="197"/>
      <c r="O4" s="199"/>
      <c r="P4" s="199"/>
      <c r="AH4" s="9" t="s">
        <v>57</v>
      </c>
    </row>
    <row r="5" spans="2:36" s="9" customFormat="1" ht="40" customHeight="1">
      <c r="C5" s="197" t="s">
        <v>127</v>
      </c>
      <c r="D5" s="198"/>
      <c r="E5" s="201" t="s">
        <v>130</v>
      </c>
      <c r="F5" s="202" t="s">
        <v>131</v>
      </c>
      <c r="G5" s="202" t="s">
        <v>236</v>
      </c>
      <c r="H5" s="198"/>
      <c r="I5" s="202" t="s">
        <v>128</v>
      </c>
      <c r="J5" s="197" t="s">
        <v>13</v>
      </c>
      <c r="K5" s="199"/>
      <c r="L5" s="199" t="s">
        <v>129</v>
      </c>
      <c r="M5" s="200" t="s">
        <v>143</v>
      </c>
      <c r="N5" s="197" t="s">
        <v>142</v>
      </c>
      <c r="O5" s="199"/>
      <c r="P5" s="199"/>
      <c r="AH5" s="14" t="s">
        <v>15</v>
      </c>
      <c r="AJ5" s="15" t="str">
        <f>"Q1 "&amp;Para!C$17</f>
        <v>Q1 2018</v>
      </c>
    </row>
    <row r="6" spans="2:36">
      <c r="B6" s="16" t="s">
        <v>1</v>
      </c>
      <c r="C6" s="17">
        <v>35</v>
      </c>
      <c r="E6" s="17">
        <v>5</v>
      </c>
      <c r="F6" s="17">
        <v>2</v>
      </c>
      <c r="G6" s="19">
        <f>E6*F6</f>
        <v>10</v>
      </c>
      <c r="I6" s="17">
        <v>4</v>
      </c>
      <c r="J6" s="17">
        <v>5.5</v>
      </c>
      <c r="L6" s="203" t="s">
        <v>132</v>
      </c>
      <c r="M6" s="17">
        <v>100000</v>
      </c>
      <c r="N6" s="17">
        <v>1</v>
      </c>
      <c r="AH6" s="14" t="s">
        <v>16</v>
      </c>
      <c r="AJ6" s="15" t="str">
        <f>"Q2 "&amp;Para!C$17</f>
        <v>Q2 2018</v>
      </c>
    </row>
    <row r="7" spans="2:36">
      <c r="B7" s="16" t="s">
        <v>2</v>
      </c>
      <c r="C7" s="17"/>
      <c r="E7" s="18"/>
      <c r="F7" s="17"/>
      <c r="G7" s="19">
        <f t="shared" ref="G7:G15" si="0">E7*F7</f>
        <v>0</v>
      </c>
      <c r="I7" s="17"/>
      <c r="J7" s="17"/>
      <c r="L7" s="203" t="s">
        <v>133</v>
      </c>
      <c r="M7" s="17"/>
      <c r="N7" s="17">
        <v>21</v>
      </c>
      <c r="AH7" s="14" t="s">
        <v>17</v>
      </c>
      <c r="AJ7" s="15" t="str">
        <f>"Q3 "&amp;Para!C$17</f>
        <v>Q3 2018</v>
      </c>
    </row>
    <row r="8" spans="2:36">
      <c r="B8" s="16" t="s">
        <v>3</v>
      </c>
      <c r="C8" s="17"/>
      <c r="E8" s="18"/>
      <c r="F8" s="17"/>
      <c r="G8" s="19">
        <f t="shared" si="0"/>
        <v>0</v>
      </c>
      <c r="I8" s="17"/>
      <c r="J8" s="17"/>
      <c r="L8" s="203" t="s">
        <v>134</v>
      </c>
      <c r="M8" s="28"/>
      <c r="N8" s="21">
        <v>21</v>
      </c>
      <c r="AH8" s="14" t="s">
        <v>18</v>
      </c>
      <c r="AJ8" s="15" t="str">
        <f>"Q4 "&amp;Para!C$17</f>
        <v>Q4 2018</v>
      </c>
    </row>
    <row r="9" spans="2:36">
      <c r="B9" s="16" t="s">
        <v>4</v>
      </c>
      <c r="C9" s="17"/>
      <c r="E9" s="18"/>
      <c r="F9" s="17"/>
      <c r="G9" s="19">
        <f t="shared" si="0"/>
        <v>0</v>
      </c>
      <c r="I9" s="17"/>
      <c r="J9" s="17"/>
      <c r="L9" s="203" t="s">
        <v>135</v>
      </c>
      <c r="M9" s="28"/>
      <c r="N9" s="21">
        <v>21</v>
      </c>
      <c r="AH9" s="14" t="s">
        <v>19</v>
      </c>
      <c r="AJ9" s="15" t="str">
        <f>"Q1 "&amp;Para!C$17+1</f>
        <v>Q1 2019</v>
      </c>
    </row>
    <row r="10" spans="2:36">
      <c r="B10" s="16" t="s">
        <v>5</v>
      </c>
      <c r="C10" s="17"/>
      <c r="E10" s="18"/>
      <c r="F10" s="17"/>
      <c r="G10" s="19">
        <f t="shared" si="0"/>
        <v>0</v>
      </c>
      <c r="I10" s="17"/>
      <c r="J10" s="17"/>
      <c r="L10" s="203" t="s">
        <v>136</v>
      </c>
      <c r="M10" s="28"/>
      <c r="N10" s="21">
        <v>21</v>
      </c>
      <c r="AH10" s="14" t="s">
        <v>20</v>
      </c>
      <c r="AJ10" s="15" t="str">
        <f>"Q2 "&amp;Para!C$17+1</f>
        <v>Q2 2019</v>
      </c>
    </row>
    <row r="11" spans="2:36">
      <c r="B11" s="16" t="s">
        <v>6</v>
      </c>
      <c r="C11" s="17"/>
      <c r="E11" s="18"/>
      <c r="F11" s="17"/>
      <c r="G11" s="19">
        <f t="shared" si="0"/>
        <v>0</v>
      </c>
      <c r="I11" s="17"/>
      <c r="J11" s="17"/>
      <c r="L11" s="203" t="s">
        <v>137</v>
      </c>
      <c r="M11" s="28"/>
      <c r="N11" s="21">
        <v>21</v>
      </c>
      <c r="AH11" s="14" t="s">
        <v>21</v>
      </c>
      <c r="AJ11" s="15" t="str">
        <f>"Q3 "&amp;Para!C$17+1</f>
        <v>Q3 2019</v>
      </c>
    </row>
    <row r="12" spans="2:36">
      <c r="B12" s="16" t="s">
        <v>7</v>
      </c>
      <c r="C12" s="17"/>
      <c r="E12" s="18"/>
      <c r="F12" s="17"/>
      <c r="G12" s="19">
        <f t="shared" si="0"/>
        <v>0</v>
      </c>
      <c r="I12" s="17"/>
      <c r="J12" s="17"/>
      <c r="L12" s="203" t="s">
        <v>138</v>
      </c>
      <c r="M12" s="28"/>
      <c r="N12" s="21">
        <v>21</v>
      </c>
      <c r="AH12" s="14" t="s">
        <v>22</v>
      </c>
      <c r="AJ12" s="15" t="str">
        <f>"Q4 "&amp;Para!C$17+1</f>
        <v>Q4 2019</v>
      </c>
    </row>
    <row r="13" spans="2:36">
      <c r="B13" s="16" t="s">
        <v>8</v>
      </c>
      <c r="C13" s="17"/>
      <c r="E13" s="18"/>
      <c r="F13" s="17"/>
      <c r="G13" s="19">
        <f t="shared" si="0"/>
        <v>0</v>
      </c>
      <c r="I13" s="17"/>
      <c r="J13" s="17"/>
      <c r="L13" s="203" t="s">
        <v>139</v>
      </c>
      <c r="M13" s="28"/>
      <c r="N13" s="21">
        <v>21</v>
      </c>
      <c r="AH13" s="14" t="s">
        <v>23</v>
      </c>
      <c r="AJ13" s="15" t="str">
        <f>"Q1 "&amp;Para!C$17+2</f>
        <v>Q1 2020</v>
      </c>
    </row>
    <row r="14" spans="2:36">
      <c r="B14" s="16" t="s">
        <v>9</v>
      </c>
      <c r="C14" s="17"/>
      <c r="E14" s="18"/>
      <c r="F14" s="17"/>
      <c r="G14" s="19">
        <f t="shared" si="0"/>
        <v>0</v>
      </c>
      <c r="I14" s="17"/>
      <c r="J14" s="17"/>
      <c r="L14" s="203" t="s">
        <v>140</v>
      </c>
      <c r="M14" s="28"/>
      <c r="N14" s="21">
        <v>21</v>
      </c>
      <c r="AH14" s="14" t="s">
        <v>24</v>
      </c>
      <c r="AJ14" s="15" t="str">
        <f>"Q2 "&amp;Para!C$17+2</f>
        <v>Q2 2020</v>
      </c>
    </row>
    <row r="15" spans="2:36">
      <c r="B15" s="16" t="s">
        <v>10</v>
      </c>
      <c r="C15" s="17"/>
      <c r="E15" s="18"/>
      <c r="F15" s="17"/>
      <c r="G15" s="19">
        <f t="shared" si="0"/>
        <v>0</v>
      </c>
      <c r="I15" s="17"/>
      <c r="J15" s="17"/>
      <c r="L15" s="203" t="s">
        <v>141</v>
      </c>
      <c r="M15" s="28"/>
      <c r="N15" s="21">
        <v>21</v>
      </c>
      <c r="AH15" s="14" t="s">
        <v>25</v>
      </c>
      <c r="AJ15" s="15" t="str">
        <f>"Q3 "&amp;Para!C$17+2</f>
        <v>Q3 2020</v>
      </c>
    </row>
    <row r="16" spans="2:36">
      <c r="AH16" s="14" t="s">
        <v>26</v>
      </c>
      <c r="AJ16" s="15" t="str">
        <f>"Q4 "&amp;Para!C$17+2</f>
        <v>Q4 2020</v>
      </c>
    </row>
    <row r="17" spans="2:36">
      <c r="B17" s="9" t="s">
        <v>31</v>
      </c>
      <c r="C17" s="22">
        <v>2018</v>
      </c>
      <c r="L17" s="9" t="s">
        <v>144</v>
      </c>
      <c r="M17" s="200" t="s">
        <v>143</v>
      </c>
      <c r="N17" s="200" t="s">
        <v>142</v>
      </c>
      <c r="AJ17" s="15" t="str">
        <f>"Q1 "&amp;Para!C$17+3</f>
        <v>Q1 2021</v>
      </c>
    </row>
    <row r="18" spans="2:36">
      <c r="B18" s="9" t="s">
        <v>56</v>
      </c>
      <c r="C18" s="15">
        <v>1</v>
      </c>
      <c r="L18" s="20" t="s">
        <v>145</v>
      </c>
      <c r="M18" s="28">
        <v>100000</v>
      </c>
      <c r="N18" s="21">
        <v>1</v>
      </c>
      <c r="AJ18" s="15" t="str">
        <f>"Q2 "&amp;Para!C$17+3</f>
        <v>Q2 2021</v>
      </c>
    </row>
    <row r="19" spans="2:36">
      <c r="C19" s="23"/>
      <c r="L19" s="20" t="s">
        <v>146</v>
      </c>
      <c r="M19" s="28"/>
      <c r="N19" s="21">
        <v>21</v>
      </c>
      <c r="AJ19" s="15" t="str">
        <f>"Q3 "&amp;Para!C$17+3</f>
        <v>Q3 2021</v>
      </c>
    </row>
    <row r="20" spans="2:36">
      <c r="C20" s="24">
        <v>30</v>
      </c>
      <c r="L20" s="20" t="s">
        <v>147</v>
      </c>
      <c r="M20" s="28"/>
      <c r="N20" s="21">
        <v>21</v>
      </c>
      <c r="AJ20" s="15" t="str">
        <f>"Q4 "&amp;Para!C$17+3</f>
        <v>Q4 2021</v>
      </c>
    </row>
    <row r="21" spans="2:36">
      <c r="B21" s="9" t="s">
        <v>69</v>
      </c>
      <c r="C21" s="204">
        <f>C20/200</f>
        <v>0.15</v>
      </c>
      <c r="L21" s="20" t="s">
        <v>148</v>
      </c>
      <c r="M21" s="28"/>
      <c r="N21" s="21">
        <v>21</v>
      </c>
      <c r="AJ21" s="15" t="str">
        <f>"Q1 "&amp;Para!C$17+4</f>
        <v>Q1 2022</v>
      </c>
    </row>
    <row r="22" spans="2:36">
      <c r="M22" s="27"/>
      <c r="N22" s="12"/>
      <c r="AJ22" s="15" t="str">
        <f>"Q2 "&amp;Para!C$17+4</f>
        <v>Q2 2022</v>
      </c>
    </row>
    <row r="23" spans="2:36">
      <c r="B23" s="9" t="s">
        <v>113</v>
      </c>
      <c r="C23" s="24">
        <v>27</v>
      </c>
      <c r="M23" s="27"/>
      <c r="N23" s="12"/>
      <c r="AJ23" s="15" t="str">
        <f>"Q3 "&amp;Para!C$17+4</f>
        <v>Q3 2022</v>
      </c>
    </row>
    <row r="24" spans="2:36">
      <c r="B24" s="9" t="s">
        <v>110</v>
      </c>
      <c r="C24" s="205">
        <f>C23/200</f>
        <v>0.13500000000000001</v>
      </c>
      <c r="E24" s="25" t="str">
        <f>"(Indicates "&amp;365*C24&amp;" days to collect receivables)"</f>
        <v>(Indicates 49.275 days to collect receivables)</v>
      </c>
      <c r="M24" s="27"/>
      <c r="N24" s="12"/>
      <c r="AJ24" s="15" t="str">
        <f>"Q4 "&amp;Para!C$17+4</f>
        <v>Q4 2022</v>
      </c>
    </row>
    <row r="25" spans="2:36">
      <c r="M25" s="27"/>
      <c r="N25" s="12"/>
    </row>
    <row r="26" spans="2:36">
      <c r="B26" s="9" t="s">
        <v>115</v>
      </c>
      <c r="C26" s="24">
        <v>24</v>
      </c>
      <c r="M26" s="27"/>
      <c r="N26" s="12"/>
    </row>
    <row r="27" spans="2:36">
      <c r="B27" s="9" t="s">
        <v>111</v>
      </c>
      <c r="C27" s="205">
        <f>C26/200</f>
        <v>0.12</v>
      </c>
      <c r="E27" s="25" t="str">
        <f>"(Indicates "&amp;365*C27&amp;" Days of Supply)"</f>
        <v>(Indicates 43.8 Days of Supply)</v>
      </c>
      <c r="M27" s="27"/>
      <c r="N27" s="12"/>
    </row>
    <row r="29" spans="2:36">
      <c r="B29" s="9" t="s">
        <v>114</v>
      </c>
      <c r="C29" s="24">
        <v>21</v>
      </c>
    </row>
    <row r="30" spans="2:36">
      <c r="B30" s="9" t="s">
        <v>112</v>
      </c>
      <c r="C30" s="205">
        <f>C29/200</f>
        <v>0.105</v>
      </c>
      <c r="E30" s="25" t="str">
        <f>"(Indicates "&amp;365*C30&amp;" days to pay vendors)"</f>
        <v>(Indicates 38.325 days to pay vendors)</v>
      </c>
      <c r="O30" s="10"/>
      <c r="P30" s="10"/>
      <c r="Q30" s="10"/>
      <c r="R30" s="10"/>
      <c r="S30" s="10"/>
      <c r="T30" s="10"/>
      <c r="U30" s="10"/>
      <c r="V30" s="10"/>
      <c r="W30" s="10"/>
      <c r="X30" s="10"/>
      <c r="Y30" s="10"/>
      <c r="Z30" s="10"/>
      <c r="AA30" s="10"/>
      <c r="AB30" s="10"/>
      <c r="AC30" s="10"/>
      <c r="AD30" s="10"/>
      <c r="AE30" s="10"/>
      <c r="AF30" s="10"/>
      <c r="AG30" s="10"/>
      <c r="AH30" s="10"/>
    </row>
    <row r="31" spans="2:36">
      <c r="O31" s="10"/>
      <c r="P31" s="10"/>
      <c r="Q31" s="10"/>
      <c r="R31" s="10"/>
      <c r="S31" s="10"/>
      <c r="T31" s="10"/>
      <c r="U31" s="10"/>
      <c r="V31" s="10"/>
      <c r="W31" s="10"/>
      <c r="X31" s="10"/>
      <c r="Y31" s="10"/>
      <c r="Z31" s="10"/>
      <c r="AA31" s="10"/>
      <c r="AB31" s="10"/>
      <c r="AC31" s="10"/>
      <c r="AD31" s="10"/>
      <c r="AE31" s="10"/>
      <c r="AF31" s="10"/>
      <c r="AG31" s="10"/>
      <c r="AH31" s="10"/>
    </row>
    <row r="32" spans="2:36">
      <c r="B32" s="9" t="s">
        <v>119</v>
      </c>
      <c r="C32" s="26">
        <v>0.1</v>
      </c>
    </row>
    <row r="34" spans="2:3">
      <c r="B34" s="9" t="s">
        <v>120</v>
      </c>
      <c r="C34" s="22">
        <v>10</v>
      </c>
    </row>
    <row r="35" spans="2:3">
      <c r="B35" s="9" t="s">
        <v>121</v>
      </c>
    </row>
  </sheetData>
  <sheetProtection selectLockedCells="1"/>
  <mergeCells count="2">
    <mergeCell ref="E4:G4"/>
    <mergeCell ref="C2:F2"/>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9" r:id="rId3" name="Drop Down 5">
              <controlPr defaultSize="0" autoLine="0" autoPict="0">
                <anchor moveWithCells="1">
                  <from>
                    <xdr:col>2</xdr:col>
                    <xdr:colOff>0</xdr:colOff>
                    <xdr:row>17</xdr:row>
                    <xdr:rowOff>12700</xdr:rowOff>
                  </from>
                  <to>
                    <xdr:col>3</xdr:col>
                    <xdr:colOff>50800</xdr:colOff>
                    <xdr:row>18</xdr:row>
                    <xdr:rowOff>25400</xdr:rowOff>
                  </to>
                </anchor>
              </controlPr>
            </control>
          </mc:Choice>
          <mc:Fallback/>
        </mc:AlternateContent>
        <mc:AlternateContent xmlns:mc="http://schemas.openxmlformats.org/markup-compatibility/2006">
          <mc:Choice Requires="x14">
            <control shapeId="1047" r:id="rId4" name="Scroll Bar 23">
              <controlPr defaultSize="0" autoPict="0">
                <anchor moveWithCells="1">
                  <from>
                    <xdr:col>2</xdr:col>
                    <xdr:colOff>12700</xdr:colOff>
                    <xdr:row>18</xdr:row>
                    <xdr:rowOff>203200</xdr:rowOff>
                  </from>
                  <to>
                    <xdr:col>3</xdr:col>
                    <xdr:colOff>0</xdr:colOff>
                    <xdr:row>19</xdr:row>
                    <xdr:rowOff>203200</xdr:rowOff>
                  </to>
                </anchor>
              </controlPr>
            </control>
          </mc:Choice>
          <mc:Fallback/>
        </mc:AlternateContent>
        <mc:AlternateContent xmlns:mc="http://schemas.openxmlformats.org/markup-compatibility/2006">
          <mc:Choice Requires="x14">
            <control shapeId="1054" r:id="rId5" name="Scroll Bar 30">
              <controlPr defaultSize="0" autoPict="0">
                <anchor moveWithCells="1">
                  <from>
                    <xdr:col>2</xdr:col>
                    <xdr:colOff>12700</xdr:colOff>
                    <xdr:row>21</xdr:row>
                    <xdr:rowOff>203200</xdr:rowOff>
                  </from>
                  <to>
                    <xdr:col>3</xdr:col>
                    <xdr:colOff>0</xdr:colOff>
                    <xdr:row>22</xdr:row>
                    <xdr:rowOff>203200</xdr:rowOff>
                  </to>
                </anchor>
              </controlPr>
            </control>
          </mc:Choice>
          <mc:Fallback/>
        </mc:AlternateContent>
        <mc:AlternateContent xmlns:mc="http://schemas.openxmlformats.org/markup-compatibility/2006">
          <mc:Choice Requires="x14">
            <control shapeId="1055" r:id="rId6" name="Scroll Bar 31">
              <controlPr defaultSize="0" autoPict="0">
                <anchor moveWithCells="1">
                  <from>
                    <xdr:col>2</xdr:col>
                    <xdr:colOff>12700</xdr:colOff>
                    <xdr:row>24</xdr:row>
                    <xdr:rowOff>203200</xdr:rowOff>
                  </from>
                  <to>
                    <xdr:col>3</xdr:col>
                    <xdr:colOff>0</xdr:colOff>
                    <xdr:row>25</xdr:row>
                    <xdr:rowOff>203200</xdr:rowOff>
                  </to>
                </anchor>
              </controlPr>
            </control>
          </mc:Choice>
          <mc:Fallback/>
        </mc:AlternateContent>
        <mc:AlternateContent xmlns:mc="http://schemas.openxmlformats.org/markup-compatibility/2006">
          <mc:Choice Requires="x14">
            <control shapeId="1056" r:id="rId7" name="Scroll Bar 32">
              <controlPr defaultSize="0" autoPict="0">
                <anchor moveWithCells="1">
                  <from>
                    <xdr:col>2</xdr:col>
                    <xdr:colOff>12700</xdr:colOff>
                    <xdr:row>27</xdr:row>
                    <xdr:rowOff>203200</xdr:rowOff>
                  </from>
                  <to>
                    <xdr:col>3</xdr:col>
                    <xdr:colOff>0</xdr:colOff>
                    <xdr:row>28</xdr:row>
                    <xdr:rowOff>203200</xdr:rowOff>
                  </to>
                </anchor>
              </controlPr>
            </control>
          </mc:Choice>
          <mc:Fallback/>
        </mc:AlternateContent>
        <mc:AlternateContent xmlns:mc="http://schemas.openxmlformats.org/markup-compatibility/2006">
          <mc:Choice Requires="x14">
            <control shapeId="1069" r:id="rId8" name="Drop Down 45">
              <controlPr defaultSize="0" autoLine="0" autoPict="0">
                <anchor moveWithCells="1">
                  <from>
                    <xdr:col>13</xdr:col>
                    <xdr:colOff>12700</xdr:colOff>
                    <xdr:row>5</xdr:row>
                    <xdr:rowOff>0</xdr:rowOff>
                  </from>
                  <to>
                    <xdr:col>14</xdr:col>
                    <xdr:colOff>12700</xdr:colOff>
                    <xdr:row>6</xdr:row>
                    <xdr:rowOff>12700</xdr:rowOff>
                  </to>
                </anchor>
              </controlPr>
            </control>
          </mc:Choice>
          <mc:Fallback/>
        </mc:AlternateContent>
        <mc:AlternateContent xmlns:mc="http://schemas.openxmlformats.org/markup-compatibility/2006">
          <mc:Choice Requires="x14">
            <control shapeId="1070" r:id="rId9" name="Drop Down 46">
              <controlPr defaultSize="0" autoLine="0" autoPict="0">
                <anchor moveWithCells="1">
                  <from>
                    <xdr:col>13</xdr:col>
                    <xdr:colOff>12700</xdr:colOff>
                    <xdr:row>6</xdr:row>
                    <xdr:rowOff>0</xdr:rowOff>
                  </from>
                  <to>
                    <xdr:col>14</xdr:col>
                    <xdr:colOff>12700</xdr:colOff>
                    <xdr:row>7</xdr:row>
                    <xdr:rowOff>12700</xdr:rowOff>
                  </to>
                </anchor>
              </controlPr>
            </control>
          </mc:Choice>
          <mc:Fallback/>
        </mc:AlternateContent>
        <mc:AlternateContent xmlns:mc="http://schemas.openxmlformats.org/markup-compatibility/2006">
          <mc:Choice Requires="x14">
            <control shapeId="1071" r:id="rId10" name="Drop Down 47">
              <controlPr defaultSize="0" autoLine="0" autoPict="0">
                <anchor moveWithCells="1">
                  <from>
                    <xdr:col>13</xdr:col>
                    <xdr:colOff>12700</xdr:colOff>
                    <xdr:row>7</xdr:row>
                    <xdr:rowOff>0</xdr:rowOff>
                  </from>
                  <to>
                    <xdr:col>14</xdr:col>
                    <xdr:colOff>12700</xdr:colOff>
                    <xdr:row>8</xdr:row>
                    <xdr:rowOff>12700</xdr:rowOff>
                  </to>
                </anchor>
              </controlPr>
            </control>
          </mc:Choice>
          <mc:Fallback/>
        </mc:AlternateContent>
        <mc:AlternateContent xmlns:mc="http://schemas.openxmlformats.org/markup-compatibility/2006">
          <mc:Choice Requires="x14">
            <control shapeId="1072" r:id="rId11" name="Drop Down 48">
              <controlPr defaultSize="0" autoLine="0" autoPict="0">
                <anchor moveWithCells="1">
                  <from>
                    <xdr:col>13</xdr:col>
                    <xdr:colOff>12700</xdr:colOff>
                    <xdr:row>8</xdr:row>
                    <xdr:rowOff>0</xdr:rowOff>
                  </from>
                  <to>
                    <xdr:col>14</xdr:col>
                    <xdr:colOff>12700</xdr:colOff>
                    <xdr:row>9</xdr:row>
                    <xdr:rowOff>12700</xdr:rowOff>
                  </to>
                </anchor>
              </controlPr>
            </control>
          </mc:Choice>
          <mc:Fallback/>
        </mc:AlternateContent>
        <mc:AlternateContent xmlns:mc="http://schemas.openxmlformats.org/markup-compatibility/2006">
          <mc:Choice Requires="x14">
            <control shapeId="1073" r:id="rId12" name="Drop Down 49">
              <controlPr defaultSize="0" autoLine="0" autoPict="0">
                <anchor moveWithCells="1">
                  <from>
                    <xdr:col>13</xdr:col>
                    <xdr:colOff>12700</xdr:colOff>
                    <xdr:row>9</xdr:row>
                    <xdr:rowOff>0</xdr:rowOff>
                  </from>
                  <to>
                    <xdr:col>14</xdr:col>
                    <xdr:colOff>12700</xdr:colOff>
                    <xdr:row>10</xdr:row>
                    <xdr:rowOff>12700</xdr:rowOff>
                  </to>
                </anchor>
              </controlPr>
            </control>
          </mc:Choice>
          <mc:Fallback/>
        </mc:AlternateContent>
        <mc:AlternateContent xmlns:mc="http://schemas.openxmlformats.org/markup-compatibility/2006">
          <mc:Choice Requires="x14">
            <control shapeId="1074" r:id="rId13" name="Drop Down 50">
              <controlPr defaultSize="0" autoLine="0" autoPict="0">
                <anchor moveWithCells="1">
                  <from>
                    <xdr:col>13</xdr:col>
                    <xdr:colOff>12700</xdr:colOff>
                    <xdr:row>10</xdr:row>
                    <xdr:rowOff>0</xdr:rowOff>
                  </from>
                  <to>
                    <xdr:col>14</xdr:col>
                    <xdr:colOff>12700</xdr:colOff>
                    <xdr:row>11</xdr:row>
                    <xdr:rowOff>12700</xdr:rowOff>
                  </to>
                </anchor>
              </controlPr>
            </control>
          </mc:Choice>
          <mc:Fallback/>
        </mc:AlternateContent>
        <mc:AlternateContent xmlns:mc="http://schemas.openxmlformats.org/markup-compatibility/2006">
          <mc:Choice Requires="x14">
            <control shapeId="1075" r:id="rId14" name="Drop Down 51">
              <controlPr defaultSize="0" autoLine="0" autoPict="0">
                <anchor moveWithCells="1">
                  <from>
                    <xdr:col>13</xdr:col>
                    <xdr:colOff>12700</xdr:colOff>
                    <xdr:row>11</xdr:row>
                    <xdr:rowOff>0</xdr:rowOff>
                  </from>
                  <to>
                    <xdr:col>14</xdr:col>
                    <xdr:colOff>12700</xdr:colOff>
                    <xdr:row>12</xdr:row>
                    <xdr:rowOff>12700</xdr:rowOff>
                  </to>
                </anchor>
              </controlPr>
            </control>
          </mc:Choice>
          <mc:Fallback/>
        </mc:AlternateContent>
        <mc:AlternateContent xmlns:mc="http://schemas.openxmlformats.org/markup-compatibility/2006">
          <mc:Choice Requires="x14">
            <control shapeId="1076" r:id="rId15" name="Drop Down 52">
              <controlPr defaultSize="0" autoLine="0" autoPict="0">
                <anchor moveWithCells="1">
                  <from>
                    <xdr:col>13</xdr:col>
                    <xdr:colOff>12700</xdr:colOff>
                    <xdr:row>12</xdr:row>
                    <xdr:rowOff>0</xdr:rowOff>
                  </from>
                  <to>
                    <xdr:col>14</xdr:col>
                    <xdr:colOff>12700</xdr:colOff>
                    <xdr:row>13</xdr:row>
                    <xdr:rowOff>12700</xdr:rowOff>
                  </to>
                </anchor>
              </controlPr>
            </control>
          </mc:Choice>
          <mc:Fallback/>
        </mc:AlternateContent>
        <mc:AlternateContent xmlns:mc="http://schemas.openxmlformats.org/markup-compatibility/2006">
          <mc:Choice Requires="x14">
            <control shapeId="1077" r:id="rId16" name="Drop Down 53">
              <controlPr defaultSize="0" autoLine="0" autoPict="0">
                <anchor moveWithCells="1">
                  <from>
                    <xdr:col>13</xdr:col>
                    <xdr:colOff>12700</xdr:colOff>
                    <xdr:row>13</xdr:row>
                    <xdr:rowOff>0</xdr:rowOff>
                  </from>
                  <to>
                    <xdr:col>14</xdr:col>
                    <xdr:colOff>12700</xdr:colOff>
                    <xdr:row>14</xdr:row>
                    <xdr:rowOff>12700</xdr:rowOff>
                  </to>
                </anchor>
              </controlPr>
            </control>
          </mc:Choice>
          <mc:Fallback/>
        </mc:AlternateContent>
        <mc:AlternateContent xmlns:mc="http://schemas.openxmlformats.org/markup-compatibility/2006">
          <mc:Choice Requires="x14">
            <control shapeId="1078" r:id="rId17" name="Drop Down 54">
              <controlPr defaultSize="0" autoLine="0" autoPict="0">
                <anchor moveWithCells="1">
                  <from>
                    <xdr:col>13</xdr:col>
                    <xdr:colOff>12700</xdr:colOff>
                    <xdr:row>14</xdr:row>
                    <xdr:rowOff>0</xdr:rowOff>
                  </from>
                  <to>
                    <xdr:col>14</xdr:col>
                    <xdr:colOff>12700</xdr:colOff>
                    <xdr:row>15</xdr:row>
                    <xdr:rowOff>12700</xdr:rowOff>
                  </to>
                </anchor>
              </controlPr>
            </control>
          </mc:Choice>
          <mc:Fallback/>
        </mc:AlternateContent>
        <mc:AlternateContent xmlns:mc="http://schemas.openxmlformats.org/markup-compatibility/2006">
          <mc:Choice Requires="x14">
            <control shapeId="1085" r:id="rId18" name="Drop Down 61">
              <controlPr defaultSize="0" autoLine="0" autoPict="0">
                <anchor moveWithCells="1">
                  <from>
                    <xdr:col>13</xdr:col>
                    <xdr:colOff>12700</xdr:colOff>
                    <xdr:row>17</xdr:row>
                    <xdr:rowOff>0</xdr:rowOff>
                  </from>
                  <to>
                    <xdr:col>14</xdr:col>
                    <xdr:colOff>12700</xdr:colOff>
                    <xdr:row>18</xdr:row>
                    <xdr:rowOff>12700</xdr:rowOff>
                  </to>
                </anchor>
              </controlPr>
            </control>
          </mc:Choice>
          <mc:Fallback/>
        </mc:AlternateContent>
        <mc:AlternateContent xmlns:mc="http://schemas.openxmlformats.org/markup-compatibility/2006">
          <mc:Choice Requires="x14">
            <control shapeId="1086" r:id="rId19" name="Drop Down 62">
              <controlPr defaultSize="0" autoLine="0" autoPict="0">
                <anchor moveWithCells="1">
                  <from>
                    <xdr:col>13</xdr:col>
                    <xdr:colOff>12700</xdr:colOff>
                    <xdr:row>18</xdr:row>
                    <xdr:rowOff>0</xdr:rowOff>
                  </from>
                  <to>
                    <xdr:col>14</xdr:col>
                    <xdr:colOff>12700</xdr:colOff>
                    <xdr:row>19</xdr:row>
                    <xdr:rowOff>12700</xdr:rowOff>
                  </to>
                </anchor>
              </controlPr>
            </control>
          </mc:Choice>
          <mc:Fallback/>
        </mc:AlternateContent>
        <mc:AlternateContent xmlns:mc="http://schemas.openxmlformats.org/markup-compatibility/2006">
          <mc:Choice Requires="x14">
            <control shapeId="1087" r:id="rId20" name="Drop Down 63">
              <controlPr defaultSize="0" autoLine="0" autoPict="0">
                <anchor moveWithCells="1">
                  <from>
                    <xdr:col>13</xdr:col>
                    <xdr:colOff>12700</xdr:colOff>
                    <xdr:row>19</xdr:row>
                    <xdr:rowOff>0</xdr:rowOff>
                  </from>
                  <to>
                    <xdr:col>14</xdr:col>
                    <xdr:colOff>12700</xdr:colOff>
                    <xdr:row>20</xdr:row>
                    <xdr:rowOff>12700</xdr:rowOff>
                  </to>
                </anchor>
              </controlPr>
            </control>
          </mc:Choice>
          <mc:Fallback/>
        </mc:AlternateContent>
        <mc:AlternateContent xmlns:mc="http://schemas.openxmlformats.org/markup-compatibility/2006">
          <mc:Choice Requires="x14">
            <control shapeId="1088" r:id="rId21" name="Drop Down 64">
              <controlPr defaultSize="0" autoLine="0" autoPict="0">
                <anchor moveWithCells="1">
                  <from>
                    <xdr:col>13</xdr:col>
                    <xdr:colOff>12700</xdr:colOff>
                    <xdr:row>20</xdr:row>
                    <xdr:rowOff>0</xdr:rowOff>
                  </from>
                  <to>
                    <xdr:col>14</xdr:col>
                    <xdr:colOff>12700</xdr:colOff>
                    <xdr:row>21</xdr:row>
                    <xdr:rowOff>12700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BI69"/>
  <sheetViews>
    <sheetView showGridLines="0" showRowColHeaders="0" zoomScale="80" zoomScaleNormal="80" zoomScalePageLayoutView="8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8.83203125" defaultRowHeight="17" x14ac:dyDescent="0"/>
  <cols>
    <col min="1" max="1" width="24.6640625" style="3" customWidth="1"/>
    <col min="2" max="2" width="12.6640625" style="4" customWidth="1"/>
    <col min="3" max="3" width="12.6640625" style="5" customWidth="1"/>
    <col min="4" max="7" width="12.6640625" style="4" customWidth="1"/>
    <col min="8" max="12" width="8.83203125" style="6"/>
    <col min="13" max="13" width="9.5" style="6" bestFit="1" customWidth="1"/>
    <col min="14" max="16384" width="8.83203125" style="6"/>
  </cols>
  <sheetData>
    <row r="1" spans="1:61" ht="100" customHeight="1">
      <c r="A1" s="48"/>
      <c r="B1" s="48"/>
    </row>
    <row r="2" spans="1:61" s="3" customFormat="1" ht="17" customHeight="1">
      <c r="A2" s="4"/>
      <c r="B2" s="208">
        <f>Para!C17</f>
        <v>2018</v>
      </c>
      <c r="C2" s="208"/>
      <c r="D2" s="208"/>
      <c r="E2" s="208"/>
      <c r="F2" s="208"/>
      <c r="G2" s="208"/>
      <c r="H2" s="208"/>
      <c r="I2" s="208"/>
      <c r="J2" s="208"/>
      <c r="K2" s="208"/>
      <c r="L2" s="208"/>
      <c r="M2" s="208"/>
      <c r="N2" s="208">
        <f>B2+1</f>
        <v>2019</v>
      </c>
      <c r="O2" s="208"/>
      <c r="P2" s="208"/>
      <c r="Q2" s="208"/>
      <c r="R2" s="208"/>
      <c r="S2" s="208"/>
      <c r="T2" s="208"/>
      <c r="U2" s="208"/>
      <c r="V2" s="208"/>
      <c r="W2" s="208"/>
      <c r="X2" s="208"/>
      <c r="Y2" s="208"/>
      <c r="Z2" s="208">
        <f>N2+1</f>
        <v>2020</v>
      </c>
      <c r="AA2" s="208"/>
      <c r="AB2" s="208"/>
      <c r="AC2" s="208"/>
      <c r="AD2" s="208"/>
      <c r="AE2" s="208"/>
      <c r="AF2" s="208"/>
      <c r="AG2" s="208"/>
      <c r="AH2" s="208"/>
      <c r="AI2" s="208"/>
      <c r="AJ2" s="208"/>
      <c r="AK2" s="208"/>
      <c r="AL2" s="208">
        <f>Z2+1</f>
        <v>2021</v>
      </c>
      <c r="AM2" s="208"/>
      <c r="AN2" s="208"/>
      <c r="AO2" s="208"/>
      <c r="AP2" s="208"/>
      <c r="AQ2" s="208"/>
      <c r="AR2" s="208"/>
      <c r="AS2" s="208"/>
      <c r="AT2" s="208"/>
      <c r="AU2" s="208"/>
      <c r="AV2" s="208"/>
      <c r="AW2" s="208"/>
      <c r="AX2" s="208">
        <f>AL2+1</f>
        <v>2022</v>
      </c>
      <c r="AY2" s="208"/>
      <c r="AZ2" s="208"/>
      <c r="BA2" s="208"/>
      <c r="BB2" s="208"/>
      <c r="BC2" s="208"/>
      <c r="BD2" s="208"/>
      <c r="BE2" s="208"/>
      <c r="BF2" s="208"/>
      <c r="BG2" s="208"/>
      <c r="BH2" s="208"/>
      <c r="BI2" s="208"/>
    </row>
    <row r="3" spans="1:61" s="3" customFormat="1">
      <c r="A3" s="49" t="s">
        <v>27</v>
      </c>
      <c r="B3" s="49" t="str">
        <f>INDEX(Mos,Mo)</f>
        <v>Jan</v>
      </c>
      <c r="C3" s="49" t="str">
        <f>INDEX(Mos,Mo+1)</f>
        <v>Feb</v>
      </c>
      <c r="D3" s="49" t="str">
        <f>INDEX(Mos,Mo+2)</f>
        <v>Mar</v>
      </c>
      <c r="E3" s="49" t="str">
        <f>INDEX(Mos,Mo+3)</f>
        <v>Apr</v>
      </c>
      <c r="F3" s="49" t="str">
        <f>INDEX(Mos,Mo+4)</f>
        <v>May</v>
      </c>
      <c r="G3" s="49" t="str">
        <f>INDEX(Mos,Mo+5)</f>
        <v>Jun</v>
      </c>
      <c r="H3" s="49" t="str">
        <f>INDEX(Mos,Mo+6)</f>
        <v>Jul</v>
      </c>
      <c r="I3" s="49" t="str">
        <f>INDEX(Mos,Mo+7)</f>
        <v>Aug</v>
      </c>
      <c r="J3" s="49" t="str">
        <f>INDEX(Mos,Mo+8)</f>
        <v>Sep</v>
      </c>
      <c r="K3" s="49" t="str">
        <f>INDEX(Mos,Mo+9)</f>
        <v>Oct</v>
      </c>
      <c r="L3" s="49" t="str">
        <f>INDEX(Mos,Mo+10)</f>
        <v>Nov</v>
      </c>
      <c r="M3" s="49" t="str">
        <f>INDEX(Mos,Mo+11)</f>
        <v>Dec</v>
      </c>
      <c r="N3" s="49" t="str">
        <f>B3</f>
        <v>Jan</v>
      </c>
      <c r="O3" s="49" t="str">
        <f t="shared" ref="O3:BI3" si="0">C3</f>
        <v>Feb</v>
      </c>
      <c r="P3" s="49" t="str">
        <f t="shared" si="0"/>
        <v>Mar</v>
      </c>
      <c r="Q3" s="49" t="str">
        <f t="shared" si="0"/>
        <v>Apr</v>
      </c>
      <c r="R3" s="49" t="str">
        <f t="shared" si="0"/>
        <v>May</v>
      </c>
      <c r="S3" s="49" t="str">
        <f t="shared" si="0"/>
        <v>Jun</v>
      </c>
      <c r="T3" s="49" t="str">
        <f t="shared" si="0"/>
        <v>Jul</v>
      </c>
      <c r="U3" s="49" t="str">
        <f t="shared" si="0"/>
        <v>Aug</v>
      </c>
      <c r="V3" s="49" t="str">
        <f t="shared" si="0"/>
        <v>Sep</v>
      </c>
      <c r="W3" s="49" t="str">
        <f t="shared" si="0"/>
        <v>Oct</v>
      </c>
      <c r="X3" s="49" t="str">
        <f t="shared" si="0"/>
        <v>Nov</v>
      </c>
      <c r="Y3" s="49" t="str">
        <f t="shared" si="0"/>
        <v>Dec</v>
      </c>
      <c r="Z3" s="49" t="str">
        <f t="shared" si="0"/>
        <v>Jan</v>
      </c>
      <c r="AA3" s="49" t="str">
        <f t="shared" si="0"/>
        <v>Feb</v>
      </c>
      <c r="AB3" s="49" t="str">
        <f t="shared" si="0"/>
        <v>Mar</v>
      </c>
      <c r="AC3" s="49" t="str">
        <f t="shared" si="0"/>
        <v>Apr</v>
      </c>
      <c r="AD3" s="49" t="str">
        <f t="shared" si="0"/>
        <v>May</v>
      </c>
      <c r="AE3" s="49" t="str">
        <f t="shared" si="0"/>
        <v>Jun</v>
      </c>
      <c r="AF3" s="49" t="str">
        <f t="shared" si="0"/>
        <v>Jul</v>
      </c>
      <c r="AG3" s="49" t="str">
        <f t="shared" si="0"/>
        <v>Aug</v>
      </c>
      <c r="AH3" s="49" t="str">
        <f t="shared" si="0"/>
        <v>Sep</v>
      </c>
      <c r="AI3" s="49" t="str">
        <f t="shared" si="0"/>
        <v>Oct</v>
      </c>
      <c r="AJ3" s="49" t="str">
        <f t="shared" si="0"/>
        <v>Nov</v>
      </c>
      <c r="AK3" s="49" t="str">
        <f t="shared" si="0"/>
        <v>Dec</v>
      </c>
      <c r="AL3" s="49" t="str">
        <f t="shared" si="0"/>
        <v>Jan</v>
      </c>
      <c r="AM3" s="49" t="str">
        <f t="shared" si="0"/>
        <v>Feb</v>
      </c>
      <c r="AN3" s="49" t="str">
        <f t="shared" si="0"/>
        <v>Mar</v>
      </c>
      <c r="AO3" s="49" t="str">
        <f t="shared" si="0"/>
        <v>Apr</v>
      </c>
      <c r="AP3" s="49" t="str">
        <f t="shared" si="0"/>
        <v>May</v>
      </c>
      <c r="AQ3" s="49" t="str">
        <f t="shared" si="0"/>
        <v>Jun</v>
      </c>
      <c r="AR3" s="49" t="str">
        <f t="shared" si="0"/>
        <v>Jul</v>
      </c>
      <c r="AS3" s="49" t="str">
        <f t="shared" si="0"/>
        <v>Aug</v>
      </c>
      <c r="AT3" s="49" t="str">
        <f t="shared" si="0"/>
        <v>Sep</v>
      </c>
      <c r="AU3" s="49" t="str">
        <f t="shared" si="0"/>
        <v>Oct</v>
      </c>
      <c r="AV3" s="49" t="str">
        <f t="shared" si="0"/>
        <v>Nov</v>
      </c>
      <c r="AW3" s="49" t="str">
        <f t="shared" si="0"/>
        <v>Dec</v>
      </c>
      <c r="AX3" s="49" t="str">
        <f t="shared" si="0"/>
        <v>Jan</v>
      </c>
      <c r="AY3" s="49" t="str">
        <f t="shared" si="0"/>
        <v>Feb</v>
      </c>
      <c r="AZ3" s="49" t="str">
        <f t="shared" si="0"/>
        <v>Mar</v>
      </c>
      <c r="BA3" s="49" t="str">
        <f t="shared" si="0"/>
        <v>Apr</v>
      </c>
      <c r="BB3" s="49" t="str">
        <f t="shared" si="0"/>
        <v>May</v>
      </c>
      <c r="BC3" s="49" t="str">
        <f t="shared" si="0"/>
        <v>Jun</v>
      </c>
      <c r="BD3" s="49" t="str">
        <f t="shared" si="0"/>
        <v>Jul</v>
      </c>
      <c r="BE3" s="49" t="str">
        <f t="shared" si="0"/>
        <v>Aug</v>
      </c>
      <c r="BF3" s="49" t="str">
        <f t="shared" si="0"/>
        <v>Sep</v>
      </c>
      <c r="BG3" s="49" t="str">
        <f t="shared" si="0"/>
        <v>Oct</v>
      </c>
      <c r="BH3" s="49" t="str">
        <f t="shared" si="0"/>
        <v>Nov</v>
      </c>
      <c r="BI3" s="49" t="str">
        <f t="shared" si="0"/>
        <v>Dec</v>
      </c>
    </row>
    <row r="4" spans="1:61">
      <c r="A4" s="3" t="str">
        <f>Para!B6</f>
        <v>Product 1</v>
      </c>
      <c r="B4" s="50">
        <v>10</v>
      </c>
      <c r="C4" s="50">
        <f>B4+5</f>
        <v>15</v>
      </c>
      <c r="D4" s="50">
        <f t="shared" ref="D4:BI4" si="1">C4+5</f>
        <v>20</v>
      </c>
      <c r="E4" s="50">
        <f t="shared" si="1"/>
        <v>25</v>
      </c>
      <c r="F4" s="50">
        <f t="shared" si="1"/>
        <v>30</v>
      </c>
      <c r="G4" s="50">
        <f t="shared" si="1"/>
        <v>35</v>
      </c>
      <c r="H4" s="50">
        <f t="shared" si="1"/>
        <v>40</v>
      </c>
      <c r="I4" s="50">
        <f t="shared" si="1"/>
        <v>45</v>
      </c>
      <c r="J4" s="50">
        <f t="shared" si="1"/>
        <v>50</v>
      </c>
      <c r="K4" s="50">
        <f t="shared" si="1"/>
        <v>55</v>
      </c>
      <c r="L4" s="50">
        <f t="shared" si="1"/>
        <v>60</v>
      </c>
      <c r="M4" s="50">
        <f t="shared" si="1"/>
        <v>65</v>
      </c>
      <c r="N4" s="50">
        <f t="shared" si="1"/>
        <v>70</v>
      </c>
      <c r="O4" s="50">
        <f t="shared" si="1"/>
        <v>75</v>
      </c>
      <c r="P4" s="50">
        <f t="shared" si="1"/>
        <v>80</v>
      </c>
      <c r="Q4" s="50">
        <f t="shared" si="1"/>
        <v>85</v>
      </c>
      <c r="R4" s="50">
        <f t="shared" si="1"/>
        <v>90</v>
      </c>
      <c r="S4" s="50">
        <f t="shared" si="1"/>
        <v>95</v>
      </c>
      <c r="T4" s="50">
        <f t="shared" si="1"/>
        <v>100</v>
      </c>
      <c r="U4" s="50">
        <f t="shared" si="1"/>
        <v>105</v>
      </c>
      <c r="V4" s="50">
        <f t="shared" si="1"/>
        <v>110</v>
      </c>
      <c r="W4" s="50">
        <f t="shared" si="1"/>
        <v>115</v>
      </c>
      <c r="X4" s="50">
        <f t="shared" si="1"/>
        <v>120</v>
      </c>
      <c r="Y4" s="50">
        <f t="shared" si="1"/>
        <v>125</v>
      </c>
      <c r="Z4" s="50">
        <f t="shared" si="1"/>
        <v>130</v>
      </c>
      <c r="AA4" s="50">
        <f t="shared" si="1"/>
        <v>135</v>
      </c>
      <c r="AB4" s="50">
        <f t="shared" si="1"/>
        <v>140</v>
      </c>
      <c r="AC4" s="50">
        <f t="shared" si="1"/>
        <v>145</v>
      </c>
      <c r="AD4" s="50">
        <f t="shared" si="1"/>
        <v>150</v>
      </c>
      <c r="AE4" s="50">
        <f t="shared" si="1"/>
        <v>155</v>
      </c>
      <c r="AF4" s="50">
        <f t="shared" si="1"/>
        <v>160</v>
      </c>
      <c r="AG4" s="50">
        <f t="shared" si="1"/>
        <v>165</v>
      </c>
      <c r="AH4" s="50">
        <f t="shared" si="1"/>
        <v>170</v>
      </c>
      <c r="AI4" s="50">
        <f t="shared" si="1"/>
        <v>175</v>
      </c>
      <c r="AJ4" s="50">
        <f t="shared" si="1"/>
        <v>180</v>
      </c>
      <c r="AK4" s="50">
        <f t="shared" si="1"/>
        <v>185</v>
      </c>
      <c r="AL4" s="50">
        <f t="shared" si="1"/>
        <v>190</v>
      </c>
      <c r="AM4" s="50">
        <f t="shared" si="1"/>
        <v>195</v>
      </c>
      <c r="AN4" s="50">
        <f t="shared" si="1"/>
        <v>200</v>
      </c>
      <c r="AO4" s="50">
        <f t="shared" si="1"/>
        <v>205</v>
      </c>
      <c r="AP4" s="50">
        <f t="shared" si="1"/>
        <v>210</v>
      </c>
      <c r="AQ4" s="50">
        <f t="shared" si="1"/>
        <v>215</v>
      </c>
      <c r="AR4" s="50">
        <f t="shared" si="1"/>
        <v>220</v>
      </c>
      <c r="AS4" s="50">
        <f t="shared" si="1"/>
        <v>225</v>
      </c>
      <c r="AT4" s="50">
        <f t="shared" si="1"/>
        <v>230</v>
      </c>
      <c r="AU4" s="50">
        <f t="shared" si="1"/>
        <v>235</v>
      </c>
      <c r="AV4" s="50">
        <f t="shared" si="1"/>
        <v>240</v>
      </c>
      <c r="AW4" s="50">
        <f t="shared" si="1"/>
        <v>245</v>
      </c>
      <c r="AX4" s="50">
        <f t="shared" si="1"/>
        <v>250</v>
      </c>
      <c r="AY4" s="50">
        <f t="shared" si="1"/>
        <v>255</v>
      </c>
      <c r="AZ4" s="50">
        <f t="shared" si="1"/>
        <v>260</v>
      </c>
      <c r="BA4" s="50">
        <f t="shared" si="1"/>
        <v>265</v>
      </c>
      <c r="BB4" s="50">
        <f t="shared" si="1"/>
        <v>270</v>
      </c>
      <c r="BC4" s="50">
        <f t="shared" si="1"/>
        <v>275</v>
      </c>
      <c r="BD4" s="50">
        <f t="shared" si="1"/>
        <v>280</v>
      </c>
      <c r="BE4" s="50">
        <f t="shared" si="1"/>
        <v>285</v>
      </c>
      <c r="BF4" s="50">
        <f t="shared" si="1"/>
        <v>290</v>
      </c>
      <c r="BG4" s="50">
        <f t="shared" si="1"/>
        <v>295</v>
      </c>
      <c r="BH4" s="50">
        <f t="shared" si="1"/>
        <v>300</v>
      </c>
      <c r="BI4" s="50">
        <f t="shared" si="1"/>
        <v>305</v>
      </c>
    </row>
    <row r="5" spans="1:61">
      <c r="A5" s="3" t="str">
        <f>Para!B7</f>
        <v>Product 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row>
    <row r="6" spans="1:61">
      <c r="A6" s="3" t="str">
        <f>Para!B8</f>
        <v>Product 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row>
    <row r="7" spans="1:61">
      <c r="A7" s="3" t="str">
        <f>Para!B9</f>
        <v>Product 4</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row>
    <row r="8" spans="1:61">
      <c r="A8" s="3" t="str">
        <f>Para!B10</f>
        <v>Product 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row>
    <row r="9" spans="1:61">
      <c r="A9" s="3" t="str">
        <f>Para!B11</f>
        <v>Product 6</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row>
    <row r="10" spans="1:61">
      <c r="A10" s="3" t="str">
        <f>Para!B12</f>
        <v>Product 7</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row>
    <row r="11" spans="1:61">
      <c r="A11" s="3" t="str">
        <f>Para!B13</f>
        <v>Product 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row>
    <row r="12" spans="1:61">
      <c r="A12" s="3" t="str">
        <f>Para!B14</f>
        <v>Product 9</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row>
    <row r="13" spans="1:61">
      <c r="A13" s="3" t="str">
        <f>Para!B15</f>
        <v>Product 10</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row>
    <row r="15" spans="1:61">
      <c r="A15" s="49" t="s">
        <v>28</v>
      </c>
    </row>
    <row r="16" spans="1:61">
      <c r="A16" s="3" t="str">
        <f>A4</f>
        <v>Product 1</v>
      </c>
      <c r="B16" s="8">
        <f>B4*Para!$C6</f>
        <v>350</v>
      </c>
      <c r="C16" s="8">
        <f>C4*Para!$C6</f>
        <v>525</v>
      </c>
      <c r="D16" s="8">
        <f>D4*Para!$C6</f>
        <v>700</v>
      </c>
      <c r="E16" s="8">
        <f>E4*Para!$C6</f>
        <v>875</v>
      </c>
      <c r="F16" s="8">
        <f>F4*Para!$C6</f>
        <v>1050</v>
      </c>
      <c r="G16" s="8">
        <f>G4*Para!$C6</f>
        <v>1225</v>
      </c>
      <c r="H16" s="8">
        <f>H4*Para!$C6</f>
        <v>1400</v>
      </c>
      <c r="I16" s="8">
        <f>I4*Para!$C6</f>
        <v>1575</v>
      </c>
      <c r="J16" s="8">
        <f>J4*Para!$C6</f>
        <v>1750</v>
      </c>
      <c r="K16" s="8">
        <f>K4*Para!$C6</f>
        <v>1925</v>
      </c>
      <c r="L16" s="8">
        <f>L4*Para!$C6</f>
        <v>2100</v>
      </c>
      <c r="M16" s="8">
        <f>M4*Para!$C6</f>
        <v>2275</v>
      </c>
      <c r="N16" s="8">
        <f>N4*Para!$C6</f>
        <v>2450</v>
      </c>
      <c r="O16" s="8">
        <f>O4*Para!$C6</f>
        <v>2625</v>
      </c>
      <c r="P16" s="8">
        <f>P4*Para!$C6</f>
        <v>2800</v>
      </c>
      <c r="Q16" s="8">
        <f>Q4*Para!$C6</f>
        <v>2975</v>
      </c>
      <c r="R16" s="8">
        <f>R4*Para!$C6</f>
        <v>3150</v>
      </c>
      <c r="S16" s="8">
        <f>S4*Para!$C6</f>
        <v>3325</v>
      </c>
      <c r="T16" s="8">
        <f>T4*Para!$C6</f>
        <v>3500</v>
      </c>
      <c r="U16" s="8">
        <f>U4*Para!$C6</f>
        <v>3675</v>
      </c>
      <c r="V16" s="8">
        <f>V4*Para!$C6</f>
        <v>3850</v>
      </c>
      <c r="W16" s="8">
        <f>W4*Para!$C6</f>
        <v>4025</v>
      </c>
      <c r="X16" s="8">
        <f>X4*Para!$C6</f>
        <v>4200</v>
      </c>
      <c r="Y16" s="8">
        <f>Y4*Para!$C6</f>
        <v>4375</v>
      </c>
      <c r="Z16" s="8">
        <f>Z4*Para!$C6</f>
        <v>4550</v>
      </c>
      <c r="AA16" s="8">
        <f>AA4*Para!$C6</f>
        <v>4725</v>
      </c>
      <c r="AB16" s="8">
        <f>AB4*Para!$C6</f>
        <v>4900</v>
      </c>
      <c r="AC16" s="8">
        <f>AC4*Para!$C6</f>
        <v>5075</v>
      </c>
      <c r="AD16" s="8">
        <f>AD4*Para!$C6</f>
        <v>5250</v>
      </c>
      <c r="AE16" s="8">
        <f>AE4*Para!$C6</f>
        <v>5425</v>
      </c>
      <c r="AF16" s="8">
        <f>AF4*Para!$C6</f>
        <v>5600</v>
      </c>
      <c r="AG16" s="8">
        <f>AG4*Para!$C6</f>
        <v>5775</v>
      </c>
      <c r="AH16" s="8">
        <f>AH4*Para!$C6</f>
        <v>5950</v>
      </c>
      <c r="AI16" s="8">
        <f>AI4*Para!$C6</f>
        <v>6125</v>
      </c>
      <c r="AJ16" s="8">
        <f>AJ4*Para!$C6</f>
        <v>6300</v>
      </c>
      <c r="AK16" s="8">
        <f>AK4*Para!$C6</f>
        <v>6475</v>
      </c>
      <c r="AL16" s="8">
        <f>AL4*Para!$C6</f>
        <v>6650</v>
      </c>
      <c r="AM16" s="8">
        <f>AM4*Para!$C6</f>
        <v>6825</v>
      </c>
      <c r="AN16" s="8">
        <f>AN4*Para!$C6</f>
        <v>7000</v>
      </c>
      <c r="AO16" s="8">
        <f>AO4*Para!$C6</f>
        <v>7175</v>
      </c>
      <c r="AP16" s="8">
        <f>AP4*Para!$C6</f>
        <v>7350</v>
      </c>
      <c r="AQ16" s="8">
        <f>AQ4*Para!$C6</f>
        <v>7525</v>
      </c>
      <c r="AR16" s="8">
        <f>AR4*Para!$C6</f>
        <v>7700</v>
      </c>
      <c r="AS16" s="8">
        <f>AS4*Para!$C6</f>
        <v>7875</v>
      </c>
      <c r="AT16" s="8">
        <f>AT4*Para!$C6</f>
        <v>8050</v>
      </c>
      <c r="AU16" s="8">
        <f>AU4*Para!$C6</f>
        <v>8225</v>
      </c>
      <c r="AV16" s="8">
        <f>AV4*Para!$C6</f>
        <v>8400</v>
      </c>
      <c r="AW16" s="8">
        <f>AW4*Para!$C6</f>
        <v>8575</v>
      </c>
      <c r="AX16" s="8">
        <f>AX4*Para!$C6</f>
        <v>8750</v>
      </c>
      <c r="AY16" s="8">
        <f>AY4*Para!$C6</f>
        <v>8925</v>
      </c>
      <c r="AZ16" s="8">
        <f>AZ4*Para!$C6</f>
        <v>9100</v>
      </c>
      <c r="BA16" s="8">
        <f>BA4*Para!$C6</f>
        <v>9275</v>
      </c>
      <c r="BB16" s="8">
        <f>BB4*Para!$C6</f>
        <v>9450</v>
      </c>
      <c r="BC16" s="8">
        <f>BC4*Para!$C6</f>
        <v>9625</v>
      </c>
      <c r="BD16" s="8">
        <f>BD4*Para!$C6</f>
        <v>9800</v>
      </c>
      <c r="BE16" s="8">
        <f>BE4*Para!$C6</f>
        <v>9975</v>
      </c>
      <c r="BF16" s="8">
        <f>BF4*Para!$C6</f>
        <v>10150</v>
      </c>
      <c r="BG16" s="8">
        <f>BG4*Para!$C6</f>
        <v>10325</v>
      </c>
      <c r="BH16" s="8">
        <f>BH4*Para!$C6</f>
        <v>10500</v>
      </c>
      <c r="BI16" s="8">
        <f>BI4*Para!$C6</f>
        <v>10675</v>
      </c>
    </row>
    <row r="17" spans="1:61">
      <c r="A17" s="3" t="str">
        <f t="shared" ref="A17:A25" si="2">A5</f>
        <v>Product 2</v>
      </c>
      <c r="B17" s="8">
        <f>B5*Para!$C7</f>
        <v>0</v>
      </c>
      <c r="C17" s="8">
        <f>C5*Para!$C7</f>
        <v>0</v>
      </c>
      <c r="D17" s="8">
        <f>D5*Para!$C7</f>
        <v>0</v>
      </c>
      <c r="E17" s="8">
        <f>E5*Para!$C7</f>
        <v>0</v>
      </c>
      <c r="F17" s="8">
        <f>F5*Para!$C7</f>
        <v>0</v>
      </c>
      <c r="G17" s="8">
        <f>G5*Para!$C7</f>
        <v>0</v>
      </c>
      <c r="H17" s="8">
        <f>H5*Para!$C7</f>
        <v>0</v>
      </c>
      <c r="I17" s="8">
        <f>I5*Para!$C7</f>
        <v>0</v>
      </c>
      <c r="J17" s="8">
        <f>J5*Para!$C7</f>
        <v>0</v>
      </c>
      <c r="K17" s="8">
        <f>K5*Para!$C7</f>
        <v>0</v>
      </c>
      <c r="L17" s="8">
        <f>L5*Para!$C7</f>
        <v>0</v>
      </c>
      <c r="M17" s="8">
        <f>M5*Para!$C7</f>
        <v>0</v>
      </c>
      <c r="N17" s="8">
        <f>N5*Para!$C7</f>
        <v>0</v>
      </c>
      <c r="O17" s="8">
        <f>O5*Para!$C7</f>
        <v>0</v>
      </c>
      <c r="P17" s="8">
        <f>P5*Para!$C7</f>
        <v>0</v>
      </c>
      <c r="Q17" s="8">
        <f>Q5*Para!$C7</f>
        <v>0</v>
      </c>
      <c r="R17" s="8">
        <f>R5*Para!$C7</f>
        <v>0</v>
      </c>
      <c r="S17" s="8">
        <f>S5*Para!$C7</f>
        <v>0</v>
      </c>
      <c r="T17" s="8">
        <f>T5*Para!$C7</f>
        <v>0</v>
      </c>
      <c r="U17" s="8">
        <f>U5*Para!$C7</f>
        <v>0</v>
      </c>
      <c r="V17" s="8">
        <f>V5*Para!$C7</f>
        <v>0</v>
      </c>
      <c r="W17" s="8">
        <f>W5*Para!$C7</f>
        <v>0</v>
      </c>
      <c r="X17" s="8">
        <f>X5*Para!$C7</f>
        <v>0</v>
      </c>
      <c r="Y17" s="8">
        <f>Y5*Para!$C7</f>
        <v>0</v>
      </c>
      <c r="Z17" s="8">
        <f>Z5*Para!$C7</f>
        <v>0</v>
      </c>
      <c r="AA17" s="8">
        <f>AA5*Para!$C7</f>
        <v>0</v>
      </c>
      <c r="AB17" s="8">
        <f>AB5*Para!$C7</f>
        <v>0</v>
      </c>
      <c r="AC17" s="8">
        <f>AC5*Para!$C7</f>
        <v>0</v>
      </c>
      <c r="AD17" s="8">
        <f>AD5*Para!$C7</f>
        <v>0</v>
      </c>
      <c r="AE17" s="8">
        <f>AE5*Para!$C7</f>
        <v>0</v>
      </c>
      <c r="AF17" s="8">
        <f>AF5*Para!$C7</f>
        <v>0</v>
      </c>
      <c r="AG17" s="8">
        <f>AG5*Para!$C7</f>
        <v>0</v>
      </c>
      <c r="AH17" s="8">
        <f>AH5*Para!$C7</f>
        <v>0</v>
      </c>
      <c r="AI17" s="8">
        <f>AI5*Para!$C7</f>
        <v>0</v>
      </c>
      <c r="AJ17" s="8">
        <f>AJ5*Para!$C7</f>
        <v>0</v>
      </c>
      <c r="AK17" s="8">
        <f>AK5*Para!$C7</f>
        <v>0</v>
      </c>
      <c r="AL17" s="8">
        <f>AL5*Para!$C7</f>
        <v>0</v>
      </c>
      <c r="AM17" s="8">
        <f>AM5*Para!$C7</f>
        <v>0</v>
      </c>
      <c r="AN17" s="8">
        <f>AN5*Para!$C7</f>
        <v>0</v>
      </c>
      <c r="AO17" s="8">
        <f>AO5*Para!$C7</f>
        <v>0</v>
      </c>
      <c r="AP17" s="8">
        <f>AP5*Para!$C7</f>
        <v>0</v>
      </c>
      <c r="AQ17" s="8">
        <f>AQ5*Para!$C7</f>
        <v>0</v>
      </c>
      <c r="AR17" s="8">
        <f>AR5*Para!$C7</f>
        <v>0</v>
      </c>
      <c r="AS17" s="8">
        <f>AS5*Para!$C7</f>
        <v>0</v>
      </c>
      <c r="AT17" s="8">
        <f>AT5*Para!$C7</f>
        <v>0</v>
      </c>
      <c r="AU17" s="8">
        <f>AU5*Para!$C7</f>
        <v>0</v>
      </c>
      <c r="AV17" s="8">
        <f>AV5*Para!$C7</f>
        <v>0</v>
      </c>
      <c r="AW17" s="8">
        <f>AW5*Para!$C7</f>
        <v>0</v>
      </c>
      <c r="AX17" s="8">
        <f>AX5*Para!$C7</f>
        <v>0</v>
      </c>
      <c r="AY17" s="8">
        <f>AY5*Para!$C7</f>
        <v>0</v>
      </c>
      <c r="AZ17" s="8">
        <f>AZ5*Para!$C7</f>
        <v>0</v>
      </c>
      <c r="BA17" s="8">
        <f>BA5*Para!$C7</f>
        <v>0</v>
      </c>
      <c r="BB17" s="8">
        <f>BB5*Para!$C7</f>
        <v>0</v>
      </c>
      <c r="BC17" s="8">
        <f>BC5*Para!$C7</f>
        <v>0</v>
      </c>
      <c r="BD17" s="8">
        <f>BD5*Para!$C7</f>
        <v>0</v>
      </c>
      <c r="BE17" s="8">
        <f>BE5*Para!$C7</f>
        <v>0</v>
      </c>
      <c r="BF17" s="8">
        <f>BF5*Para!$C7</f>
        <v>0</v>
      </c>
      <c r="BG17" s="8">
        <f>BG5*Para!$C7</f>
        <v>0</v>
      </c>
      <c r="BH17" s="8">
        <f>BH5*Para!$C7</f>
        <v>0</v>
      </c>
      <c r="BI17" s="8">
        <f>BI5*Para!$C7</f>
        <v>0</v>
      </c>
    </row>
    <row r="18" spans="1:61">
      <c r="A18" s="3" t="str">
        <f t="shared" si="2"/>
        <v>Product 3</v>
      </c>
      <c r="B18" s="8">
        <f>B6*Para!$C8</f>
        <v>0</v>
      </c>
      <c r="C18" s="8">
        <f>C6*Para!$C8</f>
        <v>0</v>
      </c>
      <c r="D18" s="8">
        <f>D6*Para!$C8</f>
        <v>0</v>
      </c>
      <c r="E18" s="8">
        <f>E6*Para!$C8</f>
        <v>0</v>
      </c>
      <c r="F18" s="8">
        <f>F6*Para!$C8</f>
        <v>0</v>
      </c>
      <c r="G18" s="8">
        <f>G6*Para!$C8</f>
        <v>0</v>
      </c>
      <c r="H18" s="8">
        <f>H6*Para!$C8</f>
        <v>0</v>
      </c>
      <c r="I18" s="8">
        <f>I6*Para!$C8</f>
        <v>0</v>
      </c>
      <c r="J18" s="8">
        <f>J6*Para!$C8</f>
        <v>0</v>
      </c>
      <c r="K18" s="8">
        <f>K6*Para!$C8</f>
        <v>0</v>
      </c>
      <c r="L18" s="8">
        <f>L6*Para!$C8</f>
        <v>0</v>
      </c>
      <c r="M18" s="8">
        <f>M6*Para!$C8</f>
        <v>0</v>
      </c>
      <c r="N18" s="8">
        <f>N6*Para!$C8</f>
        <v>0</v>
      </c>
      <c r="O18" s="8">
        <f>O6*Para!$C8</f>
        <v>0</v>
      </c>
      <c r="P18" s="8">
        <f>P6*Para!$C8</f>
        <v>0</v>
      </c>
      <c r="Q18" s="8">
        <f>Q6*Para!$C8</f>
        <v>0</v>
      </c>
      <c r="R18" s="8">
        <f>R6*Para!$C8</f>
        <v>0</v>
      </c>
      <c r="S18" s="8">
        <f>S6*Para!$C8</f>
        <v>0</v>
      </c>
      <c r="T18" s="8">
        <f>T6*Para!$C8</f>
        <v>0</v>
      </c>
      <c r="U18" s="8">
        <f>U6*Para!$C8</f>
        <v>0</v>
      </c>
      <c r="V18" s="8">
        <f>V6*Para!$C8</f>
        <v>0</v>
      </c>
      <c r="W18" s="8">
        <f>W6*Para!$C8</f>
        <v>0</v>
      </c>
      <c r="X18" s="8">
        <f>X6*Para!$C8</f>
        <v>0</v>
      </c>
      <c r="Y18" s="8">
        <f>Y6*Para!$C8</f>
        <v>0</v>
      </c>
      <c r="Z18" s="8">
        <f>Z6*Para!$C8</f>
        <v>0</v>
      </c>
      <c r="AA18" s="8">
        <f>AA6*Para!$C8</f>
        <v>0</v>
      </c>
      <c r="AB18" s="8">
        <f>AB6*Para!$C8</f>
        <v>0</v>
      </c>
      <c r="AC18" s="8">
        <f>AC6*Para!$C8</f>
        <v>0</v>
      </c>
      <c r="AD18" s="8">
        <f>AD6*Para!$C8</f>
        <v>0</v>
      </c>
      <c r="AE18" s="8">
        <f>AE6*Para!$C8</f>
        <v>0</v>
      </c>
      <c r="AF18" s="8">
        <f>AF6*Para!$C8</f>
        <v>0</v>
      </c>
      <c r="AG18" s="8">
        <f>AG6*Para!$C8</f>
        <v>0</v>
      </c>
      <c r="AH18" s="8">
        <f>AH6*Para!$C8</f>
        <v>0</v>
      </c>
      <c r="AI18" s="8">
        <f>AI6*Para!$C8</f>
        <v>0</v>
      </c>
      <c r="AJ18" s="8">
        <f>AJ6*Para!$C8</f>
        <v>0</v>
      </c>
      <c r="AK18" s="8">
        <f>AK6*Para!$C8</f>
        <v>0</v>
      </c>
      <c r="AL18" s="8">
        <f>AL6*Para!$C8</f>
        <v>0</v>
      </c>
      <c r="AM18" s="8">
        <f>AM6*Para!$C8</f>
        <v>0</v>
      </c>
      <c r="AN18" s="8">
        <f>AN6*Para!$C8</f>
        <v>0</v>
      </c>
      <c r="AO18" s="8">
        <f>AO6*Para!$C8</f>
        <v>0</v>
      </c>
      <c r="AP18" s="8">
        <f>AP6*Para!$C8</f>
        <v>0</v>
      </c>
      <c r="AQ18" s="8">
        <f>AQ6*Para!$C8</f>
        <v>0</v>
      </c>
      <c r="AR18" s="8">
        <f>AR6*Para!$C8</f>
        <v>0</v>
      </c>
      <c r="AS18" s="8">
        <f>AS6*Para!$C8</f>
        <v>0</v>
      </c>
      <c r="AT18" s="8">
        <f>AT6*Para!$C8</f>
        <v>0</v>
      </c>
      <c r="AU18" s="8">
        <f>AU6*Para!$C8</f>
        <v>0</v>
      </c>
      <c r="AV18" s="8">
        <f>AV6*Para!$C8</f>
        <v>0</v>
      </c>
      <c r="AW18" s="8">
        <f>AW6*Para!$C8</f>
        <v>0</v>
      </c>
      <c r="AX18" s="8">
        <f>AX6*Para!$C8</f>
        <v>0</v>
      </c>
      <c r="AY18" s="8">
        <f>AY6*Para!$C8</f>
        <v>0</v>
      </c>
      <c r="AZ18" s="8">
        <f>AZ6*Para!$C8</f>
        <v>0</v>
      </c>
      <c r="BA18" s="8">
        <f>BA6*Para!$C8</f>
        <v>0</v>
      </c>
      <c r="BB18" s="8">
        <f>BB6*Para!$C8</f>
        <v>0</v>
      </c>
      <c r="BC18" s="8">
        <f>BC6*Para!$C8</f>
        <v>0</v>
      </c>
      <c r="BD18" s="8">
        <f>BD6*Para!$C8</f>
        <v>0</v>
      </c>
      <c r="BE18" s="8">
        <f>BE6*Para!$C8</f>
        <v>0</v>
      </c>
      <c r="BF18" s="8">
        <f>BF6*Para!$C8</f>
        <v>0</v>
      </c>
      <c r="BG18" s="8">
        <f>BG6*Para!$C8</f>
        <v>0</v>
      </c>
      <c r="BH18" s="8">
        <f>BH6*Para!$C8</f>
        <v>0</v>
      </c>
      <c r="BI18" s="8">
        <f>BI6*Para!$C8</f>
        <v>0</v>
      </c>
    </row>
    <row r="19" spans="1:61">
      <c r="A19" s="3" t="str">
        <f t="shared" si="2"/>
        <v>Product 4</v>
      </c>
      <c r="B19" s="8">
        <f>B7*Para!$C9</f>
        <v>0</v>
      </c>
      <c r="C19" s="8">
        <f>C7*Para!$C9</f>
        <v>0</v>
      </c>
      <c r="D19" s="8">
        <f>D7*Para!$C9</f>
        <v>0</v>
      </c>
      <c r="E19" s="8">
        <f>E7*Para!$C9</f>
        <v>0</v>
      </c>
      <c r="F19" s="8">
        <f>F7*Para!$C9</f>
        <v>0</v>
      </c>
      <c r="G19" s="8">
        <f>G7*Para!$C9</f>
        <v>0</v>
      </c>
      <c r="H19" s="8">
        <f>H7*Para!$C9</f>
        <v>0</v>
      </c>
      <c r="I19" s="8">
        <f>I7*Para!$C9</f>
        <v>0</v>
      </c>
      <c r="J19" s="8">
        <f>J7*Para!$C9</f>
        <v>0</v>
      </c>
      <c r="K19" s="8">
        <f>K7*Para!$C9</f>
        <v>0</v>
      </c>
      <c r="L19" s="8">
        <f>L7*Para!$C9</f>
        <v>0</v>
      </c>
      <c r="M19" s="8">
        <f>M7*Para!$C9</f>
        <v>0</v>
      </c>
      <c r="N19" s="8">
        <f>N7*Para!$C9</f>
        <v>0</v>
      </c>
      <c r="O19" s="8">
        <f>O7*Para!$C9</f>
        <v>0</v>
      </c>
      <c r="P19" s="8">
        <f>P7*Para!$C9</f>
        <v>0</v>
      </c>
      <c r="Q19" s="8">
        <f>Q7*Para!$C9</f>
        <v>0</v>
      </c>
      <c r="R19" s="8">
        <f>R7*Para!$C9</f>
        <v>0</v>
      </c>
      <c r="S19" s="8">
        <f>S7*Para!$C9</f>
        <v>0</v>
      </c>
      <c r="T19" s="8">
        <f>T7*Para!$C9</f>
        <v>0</v>
      </c>
      <c r="U19" s="8">
        <f>U7*Para!$C9</f>
        <v>0</v>
      </c>
      <c r="V19" s="8">
        <f>V7*Para!$C9</f>
        <v>0</v>
      </c>
      <c r="W19" s="8">
        <f>W7*Para!$C9</f>
        <v>0</v>
      </c>
      <c r="X19" s="8">
        <f>X7*Para!$C9</f>
        <v>0</v>
      </c>
      <c r="Y19" s="8">
        <f>Y7*Para!$C9</f>
        <v>0</v>
      </c>
      <c r="Z19" s="8">
        <f>Z7*Para!$C9</f>
        <v>0</v>
      </c>
      <c r="AA19" s="8">
        <f>AA7*Para!$C9</f>
        <v>0</v>
      </c>
      <c r="AB19" s="8">
        <f>AB7*Para!$C9</f>
        <v>0</v>
      </c>
      <c r="AC19" s="8">
        <f>AC7*Para!$C9</f>
        <v>0</v>
      </c>
      <c r="AD19" s="8">
        <f>AD7*Para!$C9</f>
        <v>0</v>
      </c>
      <c r="AE19" s="8">
        <f>AE7*Para!$C9</f>
        <v>0</v>
      </c>
      <c r="AF19" s="8">
        <f>AF7*Para!$C9</f>
        <v>0</v>
      </c>
      <c r="AG19" s="8">
        <f>AG7*Para!$C9</f>
        <v>0</v>
      </c>
      <c r="AH19" s="8">
        <f>AH7*Para!$C9</f>
        <v>0</v>
      </c>
      <c r="AI19" s="8">
        <f>AI7*Para!$C9</f>
        <v>0</v>
      </c>
      <c r="AJ19" s="8">
        <f>AJ7*Para!$C9</f>
        <v>0</v>
      </c>
      <c r="AK19" s="8">
        <f>AK7*Para!$C9</f>
        <v>0</v>
      </c>
      <c r="AL19" s="8">
        <f>AL7*Para!$C9</f>
        <v>0</v>
      </c>
      <c r="AM19" s="8">
        <f>AM7*Para!$C9</f>
        <v>0</v>
      </c>
      <c r="AN19" s="8">
        <f>AN7*Para!$C9</f>
        <v>0</v>
      </c>
      <c r="AO19" s="8">
        <f>AO7*Para!$C9</f>
        <v>0</v>
      </c>
      <c r="AP19" s="8">
        <f>AP7*Para!$C9</f>
        <v>0</v>
      </c>
      <c r="AQ19" s="8">
        <f>AQ7*Para!$C9</f>
        <v>0</v>
      </c>
      <c r="AR19" s="8">
        <f>AR7*Para!$C9</f>
        <v>0</v>
      </c>
      <c r="AS19" s="8">
        <f>AS7*Para!$C9</f>
        <v>0</v>
      </c>
      <c r="AT19" s="8">
        <f>AT7*Para!$C9</f>
        <v>0</v>
      </c>
      <c r="AU19" s="8">
        <f>AU7*Para!$C9</f>
        <v>0</v>
      </c>
      <c r="AV19" s="8">
        <f>AV7*Para!$C9</f>
        <v>0</v>
      </c>
      <c r="AW19" s="8">
        <f>AW7*Para!$C9</f>
        <v>0</v>
      </c>
      <c r="AX19" s="8">
        <f>AX7*Para!$C9</f>
        <v>0</v>
      </c>
      <c r="AY19" s="8">
        <f>AY7*Para!$C9</f>
        <v>0</v>
      </c>
      <c r="AZ19" s="8">
        <f>AZ7*Para!$C9</f>
        <v>0</v>
      </c>
      <c r="BA19" s="8">
        <f>BA7*Para!$C9</f>
        <v>0</v>
      </c>
      <c r="BB19" s="8">
        <f>BB7*Para!$C9</f>
        <v>0</v>
      </c>
      <c r="BC19" s="8">
        <f>BC7*Para!$C9</f>
        <v>0</v>
      </c>
      <c r="BD19" s="8">
        <f>BD7*Para!$C9</f>
        <v>0</v>
      </c>
      <c r="BE19" s="8">
        <f>BE7*Para!$C9</f>
        <v>0</v>
      </c>
      <c r="BF19" s="8">
        <f>BF7*Para!$C9</f>
        <v>0</v>
      </c>
      <c r="BG19" s="8">
        <f>BG7*Para!$C9</f>
        <v>0</v>
      </c>
      <c r="BH19" s="8">
        <f>BH7*Para!$C9</f>
        <v>0</v>
      </c>
      <c r="BI19" s="8">
        <f>BI7*Para!$C9</f>
        <v>0</v>
      </c>
    </row>
    <row r="20" spans="1:61">
      <c r="A20" s="3" t="str">
        <f t="shared" si="2"/>
        <v>Product 5</v>
      </c>
      <c r="B20" s="8">
        <f>B8*Para!$C10</f>
        <v>0</v>
      </c>
      <c r="C20" s="8">
        <f>C8*Para!$C10</f>
        <v>0</v>
      </c>
      <c r="D20" s="8">
        <f>D8*Para!$C10</f>
        <v>0</v>
      </c>
      <c r="E20" s="8">
        <f>E8*Para!$C10</f>
        <v>0</v>
      </c>
      <c r="F20" s="8">
        <f>F8*Para!$C10</f>
        <v>0</v>
      </c>
      <c r="G20" s="8">
        <f>G8*Para!$C10</f>
        <v>0</v>
      </c>
      <c r="H20" s="8">
        <f>H8*Para!$C10</f>
        <v>0</v>
      </c>
      <c r="I20" s="8">
        <f>I8*Para!$C10</f>
        <v>0</v>
      </c>
      <c r="J20" s="8">
        <f>J8*Para!$C10</f>
        <v>0</v>
      </c>
      <c r="K20" s="8">
        <f>K8*Para!$C10</f>
        <v>0</v>
      </c>
      <c r="L20" s="8">
        <f>L8*Para!$C10</f>
        <v>0</v>
      </c>
      <c r="M20" s="8">
        <f>M8*Para!$C10</f>
        <v>0</v>
      </c>
      <c r="N20" s="8">
        <f>N8*Para!$C10</f>
        <v>0</v>
      </c>
      <c r="O20" s="8">
        <f>O8*Para!$C10</f>
        <v>0</v>
      </c>
      <c r="P20" s="8">
        <f>P8*Para!$C10</f>
        <v>0</v>
      </c>
      <c r="Q20" s="8">
        <f>Q8*Para!$C10</f>
        <v>0</v>
      </c>
      <c r="R20" s="8">
        <f>R8*Para!$C10</f>
        <v>0</v>
      </c>
      <c r="S20" s="8">
        <f>S8*Para!$C10</f>
        <v>0</v>
      </c>
      <c r="T20" s="8">
        <f>T8*Para!$C10</f>
        <v>0</v>
      </c>
      <c r="U20" s="8">
        <f>U8*Para!$C10</f>
        <v>0</v>
      </c>
      <c r="V20" s="8">
        <f>V8*Para!$C10</f>
        <v>0</v>
      </c>
      <c r="W20" s="8">
        <f>W8*Para!$C10</f>
        <v>0</v>
      </c>
      <c r="X20" s="8">
        <f>X8*Para!$C10</f>
        <v>0</v>
      </c>
      <c r="Y20" s="8">
        <f>Y8*Para!$C10</f>
        <v>0</v>
      </c>
      <c r="Z20" s="8">
        <f>Z8*Para!$C10</f>
        <v>0</v>
      </c>
      <c r="AA20" s="8">
        <f>AA8*Para!$C10</f>
        <v>0</v>
      </c>
      <c r="AB20" s="8">
        <f>AB8*Para!$C10</f>
        <v>0</v>
      </c>
      <c r="AC20" s="8">
        <f>AC8*Para!$C10</f>
        <v>0</v>
      </c>
      <c r="AD20" s="8">
        <f>AD8*Para!$C10</f>
        <v>0</v>
      </c>
      <c r="AE20" s="8">
        <f>AE8*Para!$C10</f>
        <v>0</v>
      </c>
      <c r="AF20" s="8">
        <f>AF8*Para!$C10</f>
        <v>0</v>
      </c>
      <c r="AG20" s="8">
        <f>AG8*Para!$C10</f>
        <v>0</v>
      </c>
      <c r="AH20" s="8">
        <f>AH8*Para!$C10</f>
        <v>0</v>
      </c>
      <c r="AI20" s="8">
        <f>AI8*Para!$C10</f>
        <v>0</v>
      </c>
      <c r="AJ20" s="8">
        <f>AJ8*Para!$C10</f>
        <v>0</v>
      </c>
      <c r="AK20" s="8">
        <f>AK8*Para!$C10</f>
        <v>0</v>
      </c>
      <c r="AL20" s="8">
        <f>AL8*Para!$C10</f>
        <v>0</v>
      </c>
      <c r="AM20" s="8">
        <f>AM8*Para!$C10</f>
        <v>0</v>
      </c>
      <c r="AN20" s="8">
        <f>AN8*Para!$C10</f>
        <v>0</v>
      </c>
      <c r="AO20" s="8">
        <f>AO8*Para!$C10</f>
        <v>0</v>
      </c>
      <c r="AP20" s="8">
        <f>AP8*Para!$C10</f>
        <v>0</v>
      </c>
      <c r="AQ20" s="8">
        <f>AQ8*Para!$C10</f>
        <v>0</v>
      </c>
      <c r="AR20" s="8">
        <f>AR8*Para!$C10</f>
        <v>0</v>
      </c>
      <c r="AS20" s="8">
        <f>AS8*Para!$C10</f>
        <v>0</v>
      </c>
      <c r="AT20" s="8">
        <f>AT8*Para!$C10</f>
        <v>0</v>
      </c>
      <c r="AU20" s="8">
        <f>AU8*Para!$C10</f>
        <v>0</v>
      </c>
      <c r="AV20" s="8">
        <f>AV8*Para!$C10</f>
        <v>0</v>
      </c>
      <c r="AW20" s="8">
        <f>AW8*Para!$C10</f>
        <v>0</v>
      </c>
      <c r="AX20" s="8">
        <f>AX8*Para!$C10</f>
        <v>0</v>
      </c>
      <c r="AY20" s="8">
        <f>AY8*Para!$C10</f>
        <v>0</v>
      </c>
      <c r="AZ20" s="8">
        <f>AZ8*Para!$C10</f>
        <v>0</v>
      </c>
      <c r="BA20" s="8">
        <f>BA8*Para!$C10</f>
        <v>0</v>
      </c>
      <c r="BB20" s="8">
        <f>BB8*Para!$C10</f>
        <v>0</v>
      </c>
      <c r="BC20" s="8">
        <f>BC8*Para!$C10</f>
        <v>0</v>
      </c>
      <c r="BD20" s="8">
        <f>BD8*Para!$C10</f>
        <v>0</v>
      </c>
      <c r="BE20" s="8">
        <f>BE8*Para!$C10</f>
        <v>0</v>
      </c>
      <c r="BF20" s="8">
        <f>BF8*Para!$C10</f>
        <v>0</v>
      </c>
      <c r="BG20" s="8">
        <f>BG8*Para!$C10</f>
        <v>0</v>
      </c>
      <c r="BH20" s="8">
        <f>BH8*Para!$C10</f>
        <v>0</v>
      </c>
      <c r="BI20" s="8">
        <f>BI8*Para!$C10</f>
        <v>0</v>
      </c>
    </row>
    <row r="21" spans="1:61">
      <c r="A21" s="3" t="str">
        <f t="shared" si="2"/>
        <v>Product 6</v>
      </c>
      <c r="B21" s="8">
        <f>B9*Para!$C11</f>
        <v>0</v>
      </c>
      <c r="C21" s="8">
        <f>C9*Para!$C11</f>
        <v>0</v>
      </c>
      <c r="D21" s="8">
        <f>D9*Para!$C11</f>
        <v>0</v>
      </c>
      <c r="E21" s="8">
        <f>E9*Para!$C11</f>
        <v>0</v>
      </c>
      <c r="F21" s="8">
        <f>F9*Para!$C11</f>
        <v>0</v>
      </c>
      <c r="G21" s="8">
        <f>G9*Para!$C11</f>
        <v>0</v>
      </c>
      <c r="H21" s="8">
        <f>H9*Para!$C11</f>
        <v>0</v>
      </c>
      <c r="I21" s="8">
        <f>I9*Para!$C11</f>
        <v>0</v>
      </c>
      <c r="J21" s="8">
        <f>J9*Para!$C11</f>
        <v>0</v>
      </c>
      <c r="K21" s="8">
        <f>K9*Para!$C11</f>
        <v>0</v>
      </c>
      <c r="L21" s="8">
        <f>L9*Para!$C11</f>
        <v>0</v>
      </c>
      <c r="M21" s="8">
        <f>M9*Para!$C11</f>
        <v>0</v>
      </c>
      <c r="N21" s="8">
        <f>N9*Para!$C11</f>
        <v>0</v>
      </c>
      <c r="O21" s="8">
        <f>O9*Para!$C11</f>
        <v>0</v>
      </c>
      <c r="P21" s="8">
        <f>P9*Para!$C11</f>
        <v>0</v>
      </c>
      <c r="Q21" s="8">
        <f>Q9*Para!$C11</f>
        <v>0</v>
      </c>
      <c r="R21" s="8">
        <f>R9*Para!$C11</f>
        <v>0</v>
      </c>
      <c r="S21" s="8">
        <f>S9*Para!$C11</f>
        <v>0</v>
      </c>
      <c r="T21" s="8">
        <f>T9*Para!$C11</f>
        <v>0</v>
      </c>
      <c r="U21" s="8">
        <f>U9*Para!$C11</f>
        <v>0</v>
      </c>
      <c r="V21" s="8">
        <f>V9*Para!$C11</f>
        <v>0</v>
      </c>
      <c r="W21" s="8">
        <f>W9*Para!$C11</f>
        <v>0</v>
      </c>
      <c r="X21" s="8">
        <f>X9*Para!$C11</f>
        <v>0</v>
      </c>
      <c r="Y21" s="8">
        <f>Y9*Para!$C11</f>
        <v>0</v>
      </c>
      <c r="Z21" s="8">
        <f>Z9*Para!$C11</f>
        <v>0</v>
      </c>
      <c r="AA21" s="8">
        <f>AA9*Para!$C11</f>
        <v>0</v>
      </c>
      <c r="AB21" s="8">
        <f>AB9*Para!$C11</f>
        <v>0</v>
      </c>
      <c r="AC21" s="8">
        <f>AC9*Para!$C11</f>
        <v>0</v>
      </c>
      <c r="AD21" s="8">
        <f>AD9*Para!$C11</f>
        <v>0</v>
      </c>
      <c r="AE21" s="8">
        <f>AE9*Para!$C11</f>
        <v>0</v>
      </c>
      <c r="AF21" s="8">
        <f>AF9*Para!$C11</f>
        <v>0</v>
      </c>
      <c r="AG21" s="8">
        <f>AG9*Para!$C11</f>
        <v>0</v>
      </c>
      <c r="AH21" s="8">
        <f>AH9*Para!$C11</f>
        <v>0</v>
      </c>
      <c r="AI21" s="8">
        <f>AI9*Para!$C11</f>
        <v>0</v>
      </c>
      <c r="AJ21" s="8">
        <f>AJ9*Para!$C11</f>
        <v>0</v>
      </c>
      <c r="AK21" s="8">
        <f>AK9*Para!$C11</f>
        <v>0</v>
      </c>
      <c r="AL21" s="8">
        <f>AL9*Para!$C11</f>
        <v>0</v>
      </c>
      <c r="AM21" s="8">
        <f>AM9*Para!$C11</f>
        <v>0</v>
      </c>
      <c r="AN21" s="8">
        <f>AN9*Para!$C11</f>
        <v>0</v>
      </c>
      <c r="AO21" s="8">
        <f>AO9*Para!$C11</f>
        <v>0</v>
      </c>
      <c r="AP21" s="8">
        <f>AP9*Para!$C11</f>
        <v>0</v>
      </c>
      <c r="AQ21" s="8">
        <f>AQ9*Para!$C11</f>
        <v>0</v>
      </c>
      <c r="AR21" s="8">
        <f>AR9*Para!$C11</f>
        <v>0</v>
      </c>
      <c r="AS21" s="8">
        <f>AS9*Para!$C11</f>
        <v>0</v>
      </c>
      <c r="AT21" s="8">
        <f>AT9*Para!$C11</f>
        <v>0</v>
      </c>
      <c r="AU21" s="8">
        <f>AU9*Para!$C11</f>
        <v>0</v>
      </c>
      <c r="AV21" s="8">
        <f>AV9*Para!$C11</f>
        <v>0</v>
      </c>
      <c r="AW21" s="8">
        <f>AW9*Para!$C11</f>
        <v>0</v>
      </c>
      <c r="AX21" s="8">
        <f>AX9*Para!$C11</f>
        <v>0</v>
      </c>
      <c r="AY21" s="8">
        <f>AY9*Para!$C11</f>
        <v>0</v>
      </c>
      <c r="AZ21" s="8">
        <f>AZ9*Para!$C11</f>
        <v>0</v>
      </c>
      <c r="BA21" s="8">
        <f>BA9*Para!$C11</f>
        <v>0</v>
      </c>
      <c r="BB21" s="8">
        <f>BB9*Para!$C11</f>
        <v>0</v>
      </c>
      <c r="BC21" s="8">
        <f>BC9*Para!$C11</f>
        <v>0</v>
      </c>
      <c r="BD21" s="8">
        <f>BD9*Para!$C11</f>
        <v>0</v>
      </c>
      <c r="BE21" s="8">
        <f>BE9*Para!$C11</f>
        <v>0</v>
      </c>
      <c r="BF21" s="8">
        <f>BF9*Para!$C11</f>
        <v>0</v>
      </c>
      <c r="BG21" s="8">
        <f>BG9*Para!$C11</f>
        <v>0</v>
      </c>
      <c r="BH21" s="8">
        <f>BH9*Para!$C11</f>
        <v>0</v>
      </c>
      <c r="BI21" s="8">
        <f>BI9*Para!$C11</f>
        <v>0</v>
      </c>
    </row>
    <row r="22" spans="1:61">
      <c r="A22" s="3" t="str">
        <f t="shared" si="2"/>
        <v>Product 7</v>
      </c>
      <c r="B22" s="8">
        <f>B10*Para!$C12</f>
        <v>0</v>
      </c>
      <c r="C22" s="8">
        <f>C10*Para!$C12</f>
        <v>0</v>
      </c>
      <c r="D22" s="8">
        <f>D10*Para!$C12</f>
        <v>0</v>
      </c>
      <c r="E22" s="8">
        <f>E10*Para!$C12</f>
        <v>0</v>
      </c>
      <c r="F22" s="8">
        <f>F10*Para!$C12</f>
        <v>0</v>
      </c>
      <c r="G22" s="8">
        <f>G10*Para!$C12</f>
        <v>0</v>
      </c>
      <c r="H22" s="8">
        <f>H10*Para!$C12</f>
        <v>0</v>
      </c>
      <c r="I22" s="8">
        <f>I10*Para!$C12</f>
        <v>0</v>
      </c>
      <c r="J22" s="8">
        <f>J10*Para!$C12</f>
        <v>0</v>
      </c>
      <c r="K22" s="8">
        <f>K10*Para!$C12</f>
        <v>0</v>
      </c>
      <c r="L22" s="8">
        <f>L10*Para!$C12</f>
        <v>0</v>
      </c>
      <c r="M22" s="8">
        <f>M10*Para!$C12</f>
        <v>0</v>
      </c>
      <c r="N22" s="8">
        <f>N10*Para!$C12</f>
        <v>0</v>
      </c>
      <c r="O22" s="8">
        <f>O10*Para!$C12</f>
        <v>0</v>
      </c>
      <c r="P22" s="8">
        <f>P10*Para!$C12</f>
        <v>0</v>
      </c>
      <c r="Q22" s="8">
        <f>Q10*Para!$C12</f>
        <v>0</v>
      </c>
      <c r="R22" s="8">
        <f>R10*Para!$C12</f>
        <v>0</v>
      </c>
      <c r="S22" s="8">
        <f>S10*Para!$C12</f>
        <v>0</v>
      </c>
      <c r="T22" s="8">
        <f>T10*Para!$C12</f>
        <v>0</v>
      </c>
      <c r="U22" s="8">
        <f>U10*Para!$C12</f>
        <v>0</v>
      </c>
      <c r="V22" s="8">
        <f>V10*Para!$C12</f>
        <v>0</v>
      </c>
      <c r="W22" s="8">
        <f>W10*Para!$C12</f>
        <v>0</v>
      </c>
      <c r="X22" s="8">
        <f>X10*Para!$C12</f>
        <v>0</v>
      </c>
      <c r="Y22" s="8">
        <f>Y10*Para!$C12</f>
        <v>0</v>
      </c>
      <c r="Z22" s="8">
        <f>Z10*Para!$C12</f>
        <v>0</v>
      </c>
      <c r="AA22" s="8">
        <f>AA10*Para!$C12</f>
        <v>0</v>
      </c>
      <c r="AB22" s="8">
        <f>AB10*Para!$C12</f>
        <v>0</v>
      </c>
      <c r="AC22" s="8">
        <f>AC10*Para!$C12</f>
        <v>0</v>
      </c>
      <c r="AD22" s="8">
        <f>AD10*Para!$C12</f>
        <v>0</v>
      </c>
      <c r="AE22" s="8">
        <f>AE10*Para!$C12</f>
        <v>0</v>
      </c>
      <c r="AF22" s="8">
        <f>AF10*Para!$C12</f>
        <v>0</v>
      </c>
      <c r="AG22" s="8">
        <f>AG10*Para!$C12</f>
        <v>0</v>
      </c>
      <c r="AH22" s="8">
        <f>AH10*Para!$C12</f>
        <v>0</v>
      </c>
      <c r="AI22" s="8">
        <f>AI10*Para!$C12</f>
        <v>0</v>
      </c>
      <c r="AJ22" s="8">
        <f>AJ10*Para!$C12</f>
        <v>0</v>
      </c>
      <c r="AK22" s="8">
        <f>AK10*Para!$C12</f>
        <v>0</v>
      </c>
      <c r="AL22" s="8">
        <f>AL10*Para!$C12</f>
        <v>0</v>
      </c>
      <c r="AM22" s="8">
        <f>AM10*Para!$C12</f>
        <v>0</v>
      </c>
      <c r="AN22" s="8">
        <f>AN10*Para!$C12</f>
        <v>0</v>
      </c>
      <c r="AO22" s="8">
        <f>AO10*Para!$C12</f>
        <v>0</v>
      </c>
      <c r="AP22" s="8">
        <f>AP10*Para!$C12</f>
        <v>0</v>
      </c>
      <c r="AQ22" s="8">
        <f>AQ10*Para!$C12</f>
        <v>0</v>
      </c>
      <c r="AR22" s="8">
        <f>AR10*Para!$C12</f>
        <v>0</v>
      </c>
      <c r="AS22" s="8">
        <f>AS10*Para!$C12</f>
        <v>0</v>
      </c>
      <c r="AT22" s="8">
        <f>AT10*Para!$C12</f>
        <v>0</v>
      </c>
      <c r="AU22" s="8">
        <f>AU10*Para!$C12</f>
        <v>0</v>
      </c>
      <c r="AV22" s="8">
        <f>AV10*Para!$C12</f>
        <v>0</v>
      </c>
      <c r="AW22" s="8">
        <f>AW10*Para!$C12</f>
        <v>0</v>
      </c>
      <c r="AX22" s="8">
        <f>AX10*Para!$C12</f>
        <v>0</v>
      </c>
      <c r="AY22" s="8">
        <f>AY10*Para!$C12</f>
        <v>0</v>
      </c>
      <c r="AZ22" s="8">
        <f>AZ10*Para!$C12</f>
        <v>0</v>
      </c>
      <c r="BA22" s="8">
        <f>BA10*Para!$C12</f>
        <v>0</v>
      </c>
      <c r="BB22" s="8">
        <f>BB10*Para!$C12</f>
        <v>0</v>
      </c>
      <c r="BC22" s="8">
        <f>BC10*Para!$C12</f>
        <v>0</v>
      </c>
      <c r="BD22" s="8">
        <f>BD10*Para!$C12</f>
        <v>0</v>
      </c>
      <c r="BE22" s="8">
        <f>BE10*Para!$C12</f>
        <v>0</v>
      </c>
      <c r="BF22" s="8">
        <f>BF10*Para!$C12</f>
        <v>0</v>
      </c>
      <c r="BG22" s="8">
        <f>BG10*Para!$C12</f>
        <v>0</v>
      </c>
      <c r="BH22" s="8">
        <f>BH10*Para!$C12</f>
        <v>0</v>
      </c>
      <c r="BI22" s="8">
        <f>BI10*Para!$C12</f>
        <v>0</v>
      </c>
    </row>
    <row r="23" spans="1:61">
      <c r="A23" s="3" t="str">
        <f t="shared" si="2"/>
        <v>Product 8</v>
      </c>
      <c r="B23" s="8">
        <f>B11*Para!$C13</f>
        <v>0</v>
      </c>
      <c r="C23" s="8">
        <f>C11*Para!$C13</f>
        <v>0</v>
      </c>
      <c r="D23" s="8">
        <f>D11*Para!$C13</f>
        <v>0</v>
      </c>
      <c r="E23" s="8">
        <f>E11*Para!$C13</f>
        <v>0</v>
      </c>
      <c r="F23" s="8">
        <f>F11*Para!$C13</f>
        <v>0</v>
      </c>
      <c r="G23" s="8">
        <f>G11*Para!$C13</f>
        <v>0</v>
      </c>
      <c r="H23" s="8">
        <f>H11*Para!$C13</f>
        <v>0</v>
      </c>
      <c r="I23" s="8">
        <f>I11*Para!$C13</f>
        <v>0</v>
      </c>
      <c r="J23" s="8">
        <f>J11*Para!$C13</f>
        <v>0</v>
      </c>
      <c r="K23" s="8">
        <f>K11*Para!$C13</f>
        <v>0</v>
      </c>
      <c r="L23" s="8">
        <f>L11*Para!$C13</f>
        <v>0</v>
      </c>
      <c r="M23" s="8">
        <f>M11*Para!$C13</f>
        <v>0</v>
      </c>
      <c r="N23" s="8">
        <f>N11*Para!$C13</f>
        <v>0</v>
      </c>
      <c r="O23" s="8">
        <f>O11*Para!$C13</f>
        <v>0</v>
      </c>
      <c r="P23" s="8">
        <f>P11*Para!$C13</f>
        <v>0</v>
      </c>
      <c r="Q23" s="8">
        <f>Q11*Para!$C13</f>
        <v>0</v>
      </c>
      <c r="R23" s="8">
        <f>R11*Para!$C13</f>
        <v>0</v>
      </c>
      <c r="S23" s="8">
        <f>S11*Para!$C13</f>
        <v>0</v>
      </c>
      <c r="T23" s="8">
        <f>T11*Para!$C13</f>
        <v>0</v>
      </c>
      <c r="U23" s="8">
        <f>U11*Para!$C13</f>
        <v>0</v>
      </c>
      <c r="V23" s="8">
        <f>V11*Para!$C13</f>
        <v>0</v>
      </c>
      <c r="W23" s="8">
        <f>W11*Para!$C13</f>
        <v>0</v>
      </c>
      <c r="X23" s="8">
        <f>X11*Para!$C13</f>
        <v>0</v>
      </c>
      <c r="Y23" s="8">
        <f>Y11*Para!$C13</f>
        <v>0</v>
      </c>
      <c r="Z23" s="8">
        <f>Z11*Para!$C13</f>
        <v>0</v>
      </c>
      <c r="AA23" s="8">
        <f>AA11*Para!$C13</f>
        <v>0</v>
      </c>
      <c r="AB23" s="8">
        <f>AB11*Para!$C13</f>
        <v>0</v>
      </c>
      <c r="AC23" s="8">
        <f>AC11*Para!$C13</f>
        <v>0</v>
      </c>
      <c r="AD23" s="8">
        <f>AD11*Para!$C13</f>
        <v>0</v>
      </c>
      <c r="AE23" s="8">
        <f>AE11*Para!$C13</f>
        <v>0</v>
      </c>
      <c r="AF23" s="8">
        <f>AF11*Para!$C13</f>
        <v>0</v>
      </c>
      <c r="AG23" s="8">
        <f>AG11*Para!$C13</f>
        <v>0</v>
      </c>
      <c r="AH23" s="8">
        <f>AH11*Para!$C13</f>
        <v>0</v>
      </c>
      <c r="AI23" s="8">
        <f>AI11*Para!$C13</f>
        <v>0</v>
      </c>
      <c r="AJ23" s="8">
        <f>AJ11*Para!$C13</f>
        <v>0</v>
      </c>
      <c r="AK23" s="8">
        <f>AK11*Para!$C13</f>
        <v>0</v>
      </c>
      <c r="AL23" s="8">
        <f>AL11*Para!$C13</f>
        <v>0</v>
      </c>
      <c r="AM23" s="8">
        <f>AM11*Para!$C13</f>
        <v>0</v>
      </c>
      <c r="AN23" s="8">
        <f>AN11*Para!$C13</f>
        <v>0</v>
      </c>
      <c r="AO23" s="8">
        <f>AO11*Para!$C13</f>
        <v>0</v>
      </c>
      <c r="AP23" s="8">
        <f>AP11*Para!$C13</f>
        <v>0</v>
      </c>
      <c r="AQ23" s="8">
        <f>AQ11*Para!$C13</f>
        <v>0</v>
      </c>
      <c r="AR23" s="8">
        <f>AR11*Para!$C13</f>
        <v>0</v>
      </c>
      <c r="AS23" s="8">
        <f>AS11*Para!$C13</f>
        <v>0</v>
      </c>
      <c r="AT23" s="8">
        <f>AT11*Para!$C13</f>
        <v>0</v>
      </c>
      <c r="AU23" s="8">
        <f>AU11*Para!$C13</f>
        <v>0</v>
      </c>
      <c r="AV23" s="8">
        <f>AV11*Para!$C13</f>
        <v>0</v>
      </c>
      <c r="AW23" s="8">
        <f>AW11*Para!$C13</f>
        <v>0</v>
      </c>
      <c r="AX23" s="8">
        <f>AX11*Para!$C13</f>
        <v>0</v>
      </c>
      <c r="AY23" s="8">
        <f>AY11*Para!$C13</f>
        <v>0</v>
      </c>
      <c r="AZ23" s="8">
        <f>AZ11*Para!$C13</f>
        <v>0</v>
      </c>
      <c r="BA23" s="8">
        <f>BA11*Para!$C13</f>
        <v>0</v>
      </c>
      <c r="BB23" s="8">
        <f>BB11*Para!$C13</f>
        <v>0</v>
      </c>
      <c r="BC23" s="8">
        <f>BC11*Para!$C13</f>
        <v>0</v>
      </c>
      <c r="BD23" s="8">
        <f>BD11*Para!$C13</f>
        <v>0</v>
      </c>
      <c r="BE23" s="8">
        <f>BE11*Para!$C13</f>
        <v>0</v>
      </c>
      <c r="BF23" s="8">
        <f>BF11*Para!$C13</f>
        <v>0</v>
      </c>
      <c r="BG23" s="8">
        <f>BG11*Para!$C13</f>
        <v>0</v>
      </c>
      <c r="BH23" s="8">
        <f>BH11*Para!$C13</f>
        <v>0</v>
      </c>
      <c r="BI23" s="8">
        <f>BI11*Para!$C13</f>
        <v>0</v>
      </c>
    </row>
    <row r="24" spans="1:61">
      <c r="A24" s="3" t="str">
        <f t="shared" si="2"/>
        <v>Product 9</v>
      </c>
      <c r="B24" s="8">
        <f>B12*Para!$C14</f>
        <v>0</v>
      </c>
      <c r="C24" s="8">
        <f>C12*Para!$C14</f>
        <v>0</v>
      </c>
      <c r="D24" s="8">
        <f>D12*Para!$C14</f>
        <v>0</v>
      </c>
      <c r="E24" s="8">
        <f>E12*Para!$C14</f>
        <v>0</v>
      </c>
      <c r="F24" s="8">
        <f>F12*Para!$C14</f>
        <v>0</v>
      </c>
      <c r="G24" s="8">
        <f>G12*Para!$C14</f>
        <v>0</v>
      </c>
      <c r="H24" s="8">
        <f>H12*Para!$C14</f>
        <v>0</v>
      </c>
      <c r="I24" s="8">
        <f>I12*Para!$C14</f>
        <v>0</v>
      </c>
      <c r="J24" s="8">
        <f>J12*Para!$C14</f>
        <v>0</v>
      </c>
      <c r="K24" s="8">
        <f>K12*Para!$C14</f>
        <v>0</v>
      </c>
      <c r="L24" s="8">
        <f>L12*Para!$C14</f>
        <v>0</v>
      </c>
      <c r="M24" s="8">
        <f>M12*Para!$C14</f>
        <v>0</v>
      </c>
      <c r="N24" s="8">
        <f>N12*Para!$C14</f>
        <v>0</v>
      </c>
      <c r="O24" s="8">
        <f>O12*Para!$C14</f>
        <v>0</v>
      </c>
      <c r="P24" s="8">
        <f>P12*Para!$C14</f>
        <v>0</v>
      </c>
      <c r="Q24" s="8">
        <f>Q12*Para!$C14</f>
        <v>0</v>
      </c>
      <c r="R24" s="8">
        <f>R12*Para!$C14</f>
        <v>0</v>
      </c>
      <c r="S24" s="8">
        <f>S12*Para!$C14</f>
        <v>0</v>
      </c>
      <c r="T24" s="8">
        <f>T12*Para!$C14</f>
        <v>0</v>
      </c>
      <c r="U24" s="8">
        <f>U12*Para!$C14</f>
        <v>0</v>
      </c>
      <c r="V24" s="8">
        <f>V12*Para!$C14</f>
        <v>0</v>
      </c>
      <c r="W24" s="8">
        <f>W12*Para!$C14</f>
        <v>0</v>
      </c>
      <c r="X24" s="8">
        <f>X12*Para!$C14</f>
        <v>0</v>
      </c>
      <c r="Y24" s="8">
        <f>Y12*Para!$C14</f>
        <v>0</v>
      </c>
      <c r="Z24" s="8">
        <f>Z12*Para!$C14</f>
        <v>0</v>
      </c>
      <c r="AA24" s="8">
        <f>AA12*Para!$C14</f>
        <v>0</v>
      </c>
      <c r="AB24" s="8">
        <f>AB12*Para!$C14</f>
        <v>0</v>
      </c>
      <c r="AC24" s="8">
        <f>AC12*Para!$C14</f>
        <v>0</v>
      </c>
      <c r="AD24" s="8">
        <f>AD12*Para!$C14</f>
        <v>0</v>
      </c>
      <c r="AE24" s="8">
        <f>AE12*Para!$C14</f>
        <v>0</v>
      </c>
      <c r="AF24" s="8">
        <f>AF12*Para!$C14</f>
        <v>0</v>
      </c>
      <c r="AG24" s="8">
        <f>AG12*Para!$C14</f>
        <v>0</v>
      </c>
      <c r="AH24" s="8">
        <f>AH12*Para!$C14</f>
        <v>0</v>
      </c>
      <c r="AI24" s="8">
        <f>AI12*Para!$C14</f>
        <v>0</v>
      </c>
      <c r="AJ24" s="8">
        <f>AJ12*Para!$C14</f>
        <v>0</v>
      </c>
      <c r="AK24" s="8">
        <f>AK12*Para!$C14</f>
        <v>0</v>
      </c>
      <c r="AL24" s="8">
        <f>AL12*Para!$C14</f>
        <v>0</v>
      </c>
      <c r="AM24" s="8">
        <f>AM12*Para!$C14</f>
        <v>0</v>
      </c>
      <c r="AN24" s="8">
        <f>AN12*Para!$C14</f>
        <v>0</v>
      </c>
      <c r="AO24" s="8">
        <f>AO12*Para!$C14</f>
        <v>0</v>
      </c>
      <c r="AP24" s="8">
        <f>AP12*Para!$C14</f>
        <v>0</v>
      </c>
      <c r="AQ24" s="8">
        <f>AQ12*Para!$C14</f>
        <v>0</v>
      </c>
      <c r="AR24" s="8">
        <f>AR12*Para!$C14</f>
        <v>0</v>
      </c>
      <c r="AS24" s="8">
        <f>AS12*Para!$C14</f>
        <v>0</v>
      </c>
      <c r="AT24" s="8">
        <f>AT12*Para!$C14</f>
        <v>0</v>
      </c>
      <c r="AU24" s="8">
        <f>AU12*Para!$C14</f>
        <v>0</v>
      </c>
      <c r="AV24" s="8">
        <f>AV12*Para!$C14</f>
        <v>0</v>
      </c>
      <c r="AW24" s="8">
        <f>AW12*Para!$C14</f>
        <v>0</v>
      </c>
      <c r="AX24" s="8">
        <f>AX12*Para!$C14</f>
        <v>0</v>
      </c>
      <c r="AY24" s="8">
        <f>AY12*Para!$C14</f>
        <v>0</v>
      </c>
      <c r="AZ24" s="8">
        <f>AZ12*Para!$C14</f>
        <v>0</v>
      </c>
      <c r="BA24" s="8">
        <f>BA12*Para!$C14</f>
        <v>0</v>
      </c>
      <c r="BB24" s="8">
        <f>BB12*Para!$C14</f>
        <v>0</v>
      </c>
      <c r="BC24" s="8">
        <f>BC12*Para!$C14</f>
        <v>0</v>
      </c>
      <c r="BD24" s="8">
        <f>BD12*Para!$C14</f>
        <v>0</v>
      </c>
      <c r="BE24" s="8">
        <f>BE12*Para!$C14</f>
        <v>0</v>
      </c>
      <c r="BF24" s="8">
        <f>BF12*Para!$C14</f>
        <v>0</v>
      </c>
      <c r="BG24" s="8">
        <f>BG12*Para!$C14</f>
        <v>0</v>
      </c>
      <c r="BH24" s="8">
        <f>BH12*Para!$C14</f>
        <v>0</v>
      </c>
      <c r="BI24" s="8">
        <f>BI12*Para!$C14</f>
        <v>0</v>
      </c>
    </row>
    <row r="25" spans="1:61">
      <c r="A25" s="3" t="str">
        <f t="shared" si="2"/>
        <v>Product 10</v>
      </c>
      <c r="B25" s="8">
        <f>B13*Para!$C15</f>
        <v>0</v>
      </c>
      <c r="C25" s="8">
        <f>C13*Para!$C15</f>
        <v>0</v>
      </c>
      <c r="D25" s="8">
        <f>D13*Para!$C15</f>
        <v>0</v>
      </c>
      <c r="E25" s="8">
        <f>E13*Para!$C15</f>
        <v>0</v>
      </c>
      <c r="F25" s="8">
        <f>F13*Para!$C15</f>
        <v>0</v>
      </c>
      <c r="G25" s="8">
        <f>G13*Para!$C15</f>
        <v>0</v>
      </c>
      <c r="H25" s="8">
        <f>H13*Para!$C15</f>
        <v>0</v>
      </c>
      <c r="I25" s="8">
        <f>I13*Para!$C15</f>
        <v>0</v>
      </c>
      <c r="J25" s="8">
        <f>J13*Para!$C15</f>
        <v>0</v>
      </c>
      <c r="K25" s="8">
        <f>K13*Para!$C15</f>
        <v>0</v>
      </c>
      <c r="L25" s="8">
        <f>L13*Para!$C15</f>
        <v>0</v>
      </c>
      <c r="M25" s="8">
        <f>M13*Para!$C15</f>
        <v>0</v>
      </c>
      <c r="N25" s="8">
        <f>N13*Para!$C15</f>
        <v>0</v>
      </c>
      <c r="O25" s="8">
        <f>O13*Para!$C15</f>
        <v>0</v>
      </c>
      <c r="P25" s="8">
        <f>P13*Para!$C15</f>
        <v>0</v>
      </c>
      <c r="Q25" s="8">
        <f>Q13*Para!$C15</f>
        <v>0</v>
      </c>
      <c r="R25" s="8">
        <f>R13*Para!$C15</f>
        <v>0</v>
      </c>
      <c r="S25" s="8">
        <f>S13*Para!$C15</f>
        <v>0</v>
      </c>
      <c r="T25" s="8">
        <f>T13*Para!$C15</f>
        <v>0</v>
      </c>
      <c r="U25" s="8">
        <f>U13*Para!$C15</f>
        <v>0</v>
      </c>
      <c r="V25" s="8">
        <f>V13*Para!$C15</f>
        <v>0</v>
      </c>
      <c r="W25" s="8">
        <f>W13*Para!$C15</f>
        <v>0</v>
      </c>
      <c r="X25" s="8">
        <f>X13*Para!$C15</f>
        <v>0</v>
      </c>
      <c r="Y25" s="8">
        <f>Y13*Para!$C15</f>
        <v>0</v>
      </c>
      <c r="Z25" s="8">
        <f>Z13*Para!$C15</f>
        <v>0</v>
      </c>
      <c r="AA25" s="8">
        <f>AA13*Para!$C15</f>
        <v>0</v>
      </c>
      <c r="AB25" s="8">
        <f>AB13*Para!$C15</f>
        <v>0</v>
      </c>
      <c r="AC25" s="8">
        <f>AC13*Para!$C15</f>
        <v>0</v>
      </c>
      <c r="AD25" s="8">
        <f>AD13*Para!$C15</f>
        <v>0</v>
      </c>
      <c r="AE25" s="8">
        <f>AE13*Para!$C15</f>
        <v>0</v>
      </c>
      <c r="AF25" s="8">
        <f>AF13*Para!$C15</f>
        <v>0</v>
      </c>
      <c r="AG25" s="8">
        <f>AG13*Para!$C15</f>
        <v>0</v>
      </c>
      <c r="AH25" s="8">
        <f>AH13*Para!$C15</f>
        <v>0</v>
      </c>
      <c r="AI25" s="8">
        <f>AI13*Para!$C15</f>
        <v>0</v>
      </c>
      <c r="AJ25" s="8">
        <f>AJ13*Para!$C15</f>
        <v>0</v>
      </c>
      <c r="AK25" s="8">
        <f>AK13*Para!$C15</f>
        <v>0</v>
      </c>
      <c r="AL25" s="8">
        <f>AL13*Para!$C15</f>
        <v>0</v>
      </c>
      <c r="AM25" s="8">
        <f>AM13*Para!$C15</f>
        <v>0</v>
      </c>
      <c r="AN25" s="8">
        <f>AN13*Para!$C15</f>
        <v>0</v>
      </c>
      <c r="AO25" s="8">
        <f>AO13*Para!$C15</f>
        <v>0</v>
      </c>
      <c r="AP25" s="8">
        <f>AP13*Para!$C15</f>
        <v>0</v>
      </c>
      <c r="AQ25" s="8">
        <f>AQ13*Para!$C15</f>
        <v>0</v>
      </c>
      <c r="AR25" s="8">
        <f>AR13*Para!$C15</f>
        <v>0</v>
      </c>
      <c r="AS25" s="8">
        <f>AS13*Para!$C15</f>
        <v>0</v>
      </c>
      <c r="AT25" s="8">
        <f>AT13*Para!$C15</f>
        <v>0</v>
      </c>
      <c r="AU25" s="8">
        <f>AU13*Para!$C15</f>
        <v>0</v>
      </c>
      <c r="AV25" s="8">
        <f>AV13*Para!$C15</f>
        <v>0</v>
      </c>
      <c r="AW25" s="8">
        <f>AW13*Para!$C15</f>
        <v>0</v>
      </c>
      <c r="AX25" s="8">
        <f>AX13*Para!$C15</f>
        <v>0</v>
      </c>
      <c r="AY25" s="8">
        <f>AY13*Para!$C15</f>
        <v>0</v>
      </c>
      <c r="AZ25" s="8">
        <f>AZ13*Para!$C15</f>
        <v>0</v>
      </c>
      <c r="BA25" s="8">
        <f>BA13*Para!$C15</f>
        <v>0</v>
      </c>
      <c r="BB25" s="8">
        <f>BB13*Para!$C15</f>
        <v>0</v>
      </c>
      <c r="BC25" s="8">
        <f>BC13*Para!$C15</f>
        <v>0</v>
      </c>
      <c r="BD25" s="8">
        <f>BD13*Para!$C15</f>
        <v>0</v>
      </c>
      <c r="BE25" s="8">
        <f>BE13*Para!$C15</f>
        <v>0</v>
      </c>
      <c r="BF25" s="8">
        <f>BF13*Para!$C15</f>
        <v>0</v>
      </c>
      <c r="BG25" s="8">
        <f>BG13*Para!$C15</f>
        <v>0</v>
      </c>
      <c r="BH25" s="8">
        <f>BH13*Para!$C15</f>
        <v>0</v>
      </c>
      <c r="BI25" s="8">
        <f>BI13*Para!$C15</f>
        <v>0</v>
      </c>
    </row>
    <row r="26" spans="1:61" ht="13">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row>
    <row r="27" spans="1:61">
      <c r="A27" s="49" t="s">
        <v>75</v>
      </c>
      <c r="B27" s="8">
        <f>SUM(B16:B25)</f>
        <v>350</v>
      </c>
      <c r="C27" s="8">
        <f t="shared" ref="C27:BI27" si="3">SUM(C16:C25)</f>
        <v>525</v>
      </c>
      <c r="D27" s="8">
        <f t="shared" si="3"/>
        <v>700</v>
      </c>
      <c r="E27" s="8">
        <f t="shared" si="3"/>
        <v>875</v>
      </c>
      <c r="F27" s="8">
        <f t="shared" si="3"/>
        <v>1050</v>
      </c>
      <c r="G27" s="8">
        <f t="shared" si="3"/>
        <v>1225</v>
      </c>
      <c r="H27" s="8">
        <f t="shared" si="3"/>
        <v>1400</v>
      </c>
      <c r="I27" s="8">
        <f t="shared" si="3"/>
        <v>1575</v>
      </c>
      <c r="J27" s="8">
        <f t="shared" si="3"/>
        <v>1750</v>
      </c>
      <c r="K27" s="8">
        <f t="shared" si="3"/>
        <v>1925</v>
      </c>
      <c r="L27" s="8">
        <f t="shared" si="3"/>
        <v>2100</v>
      </c>
      <c r="M27" s="8">
        <f t="shared" si="3"/>
        <v>2275</v>
      </c>
      <c r="N27" s="8">
        <f t="shared" si="3"/>
        <v>2450</v>
      </c>
      <c r="O27" s="8">
        <f t="shared" si="3"/>
        <v>2625</v>
      </c>
      <c r="P27" s="8">
        <f t="shared" si="3"/>
        <v>2800</v>
      </c>
      <c r="Q27" s="8">
        <f t="shared" si="3"/>
        <v>2975</v>
      </c>
      <c r="R27" s="8">
        <f t="shared" si="3"/>
        <v>3150</v>
      </c>
      <c r="S27" s="8">
        <f t="shared" si="3"/>
        <v>3325</v>
      </c>
      <c r="T27" s="8">
        <f t="shared" si="3"/>
        <v>3500</v>
      </c>
      <c r="U27" s="8">
        <f t="shared" si="3"/>
        <v>3675</v>
      </c>
      <c r="V27" s="8">
        <f t="shared" si="3"/>
        <v>3850</v>
      </c>
      <c r="W27" s="8">
        <f t="shared" si="3"/>
        <v>4025</v>
      </c>
      <c r="X27" s="8">
        <f t="shared" si="3"/>
        <v>4200</v>
      </c>
      <c r="Y27" s="8">
        <f t="shared" si="3"/>
        <v>4375</v>
      </c>
      <c r="Z27" s="8">
        <f t="shared" si="3"/>
        <v>4550</v>
      </c>
      <c r="AA27" s="8">
        <f t="shared" si="3"/>
        <v>4725</v>
      </c>
      <c r="AB27" s="8">
        <f t="shared" si="3"/>
        <v>4900</v>
      </c>
      <c r="AC27" s="8">
        <f t="shared" si="3"/>
        <v>5075</v>
      </c>
      <c r="AD27" s="8">
        <f t="shared" si="3"/>
        <v>5250</v>
      </c>
      <c r="AE27" s="8">
        <f t="shared" si="3"/>
        <v>5425</v>
      </c>
      <c r="AF27" s="8">
        <f t="shared" si="3"/>
        <v>5600</v>
      </c>
      <c r="AG27" s="8">
        <f t="shared" si="3"/>
        <v>5775</v>
      </c>
      <c r="AH27" s="8">
        <f t="shared" si="3"/>
        <v>5950</v>
      </c>
      <c r="AI27" s="8">
        <f t="shared" si="3"/>
        <v>6125</v>
      </c>
      <c r="AJ27" s="8">
        <f t="shared" si="3"/>
        <v>6300</v>
      </c>
      <c r="AK27" s="8">
        <f t="shared" si="3"/>
        <v>6475</v>
      </c>
      <c r="AL27" s="8">
        <f t="shared" si="3"/>
        <v>6650</v>
      </c>
      <c r="AM27" s="8">
        <f t="shared" si="3"/>
        <v>6825</v>
      </c>
      <c r="AN27" s="8">
        <f t="shared" si="3"/>
        <v>7000</v>
      </c>
      <c r="AO27" s="8">
        <f t="shared" si="3"/>
        <v>7175</v>
      </c>
      <c r="AP27" s="8">
        <f t="shared" si="3"/>
        <v>7350</v>
      </c>
      <c r="AQ27" s="8">
        <f t="shared" si="3"/>
        <v>7525</v>
      </c>
      <c r="AR27" s="8">
        <f t="shared" si="3"/>
        <v>7700</v>
      </c>
      <c r="AS27" s="8">
        <f t="shared" si="3"/>
        <v>7875</v>
      </c>
      <c r="AT27" s="8">
        <f t="shared" si="3"/>
        <v>8050</v>
      </c>
      <c r="AU27" s="8">
        <f t="shared" si="3"/>
        <v>8225</v>
      </c>
      <c r="AV27" s="8">
        <f t="shared" si="3"/>
        <v>8400</v>
      </c>
      <c r="AW27" s="8">
        <f t="shared" si="3"/>
        <v>8575</v>
      </c>
      <c r="AX27" s="8">
        <f t="shared" si="3"/>
        <v>8750</v>
      </c>
      <c r="AY27" s="8">
        <f t="shared" si="3"/>
        <v>8925</v>
      </c>
      <c r="AZ27" s="8">
        <f t="shared" si="3"/>
        <v>9100</v>
      </c>
      <c r="BA27" s="8">
        <f t="shared" si="3"/>
        <v>9275</v>
      </c>
      <c r="BB27" s="8">
        <f t="shared" si="3"/>
        <v>9450</v>
      </c>
      <c r="BC27" s="8">
        <f t="shared" si="3"/>
        <v>9625</v>
      </c>
      <c r="BD27" s="8">
        <f t="shared" si="3"/>
        <v>9800</v>
      </c>
      <c r="BE27" s="8">
        <f t="shared" si="3"/>
        <v>9975</v>
      </c>
      <c r="BF27" s="8">
        <f t="shared" si="3"/>
        <v>10150</v>
      </c>
      <c r="BG27" s="8">
        <f t="shared" si="3"/>
        <v>10325</v>
      </c>
      <c r="BH27" s="8">
        <f t="shared" si="3"/>
        <v>10500</v>
      </c>
      <c r="BI27" s="8">
        <f t="shared" si="3"/>
        <v>10675</v>
      </c>
    </row>
    <row r="28" spans="1:61" ht="13">
      <c r="A28" s="4"/>
    </row>
    <row r="29" spans="1:61">
      <c r="A29" s="49" t="s">
        <v>11</v>
      </c>
    </row>
    <row r="30" spans="1:61">
      <c r="A30" s="3" t="str">
        <f>A4</f>
        <v>Product 1</v>
      </c>
      <c r="B30" s="8">
        <f>B4*Para!$G6</f>
        <v>100</v>
      </c>
      <c r="C30" s="8">
        <f>C4*Para!$G6</f>
        <v>150</v>
      </c>
      <c r="D30" s="8">
        <f>D4*Para!$G6</f>
        <v>200</v>
      </c>
      <c r="E30" s="8">
        <f>E4*Para!$G6</f>
        <v>250</v>
      </c>
      <c r="F30" s="8">
        <f>F4*Para!$G6</f>
        <v>300</v>
      </c>
      <c r="G30" s="8">
        <f>G4*Para!$G6</f>
        <v>350</v>
      </c>
      <c r="H30" s="8">
        <f>H4*Para!$G6</f>
        <v>400</v>
      </c>
      <c r="I30" s="8">
        <f>I4*Para!$G6</f>
        <v>450</v>
      </c>
      <c r="J30" s="8">
        <f>J4*Para!$G6</f>
        <v>500</v>
      </c>
      <c r="K30" s="8">
        <f>K4*Para!$G6</f>
        <v>550</v>
      </c>
      <c r="L30" s="8">
        <f>L4*Para!$G6</f>
        <v>600</v>
      </c>
      <c r="M30" s="8">
        <f>M4*Para!$G6</f>
        <v>650</v>
      </c>
      <c r="N30" s="8">
        <f>N4*Para!$G6</f>
        <v>700</v>
      </c>
      <c r="O30" s="8">
        <f>O4*Para!$G6</f>
        <v>750</v>
      </c>
      <c r="P30" s="8">
        <f>P4*Para!$G6</f>
        <v>800</v>
      </c>
      <c r="Q30" s="8">
        <f>Q4*Para!$G6</f>
        <v>850</v>
      </c>
      <c r="R30" s="8">
        <f>R4*Para!$G6</f>
        <v>900</v>
      </c>
      <c r="S30" s="8">
        <f>S4*Para!$G6</f>
        <v>950</v>
      </c>
      <c r="T30" s="8">
        <f>T4*Para!$G6</f>
        <v>1000</v>
      </c>
      <c r="U30" s="8">
        <f>U4*Para!$G6</f>
        <v>1050</v>
      </c>
      <c r="V30" s="8">
        <f>V4*Para!$G6</f>
        <v>1100</v>
      </c>
      <c r="W30" s="8">
        <f>W4*Para!$G6</f>
        <v>1150</v>
      </c>
      <c r="X30" s="8">
        <f>X4*Para!$G6</f>
        <v>1200</v>
      </c>
      <c r="Y30" s="8">
        <f>Y4*Para!$G6</f>
        <v>1250</v>
      </c>
      <c r="Z30" s="8">
        <f>Z4*Para!$G6</f>
        <v>1300</v>
      </c>
      <c r="AA30" s="8">
        <f>AA4*Para!$G6</f>
        <v>1350</v>
      </c>
      <c r="AB30" s="8">
        <f>AB4*Para!$G6</f>
        <v>1400</v>
      </c>
      <c r="AC30" s="8">
        <f>AC4*Para!$G6</f>
        <v>1450</v>
      </c>
      <c r="AD30" s="8">
        <f>AD4*Para!$G6</f>
        <v>1500</v>
      </c>
      <c r="AE30" s="8">
        <f>AE4*Para!$G6</f>
        <v>1550</v>
      </c>
      <c r="AF30" s="8">
        <f>AF4*Para!$G6</f>
        <v>1600</v>
      </c>
      <c r="AG30" s="8">
        <f>AG4*Para!$G6</f>
        <v>1650</v>
      </c>
      <c r="AH30" s="8">
        <f>AH4*Para!$G6</f>
        <v>1700</v>
      </c>
      <c r="AI30" s="8">
        <f>AI4*Para!$G6</f>
        <v>1750</v>
      </c>
      <c r="AJ30" s="8">
        <f>AJ4*Para!$G6</f>
        <v>1800</v>
      </c>
      <c r="AK30" s="8">
        <f>AK4*Para!$G6</f>
        <v>1850</v>
      </c>
      <c r="AL30" s="8">
        <f>AL4*Para!$G6</f>
        <v>1900</v>
      </c>
      <c r="AM30" s="8">
        <f>AM4*Para!$G6</f>
        <v>1950</v>
      </c>
      <c r="AN30" s="8">
        <f>AN4*Para!$G6</f>
        <v>2000</v>
      </c>
      <c r="AO30" s="8">
        <f>AO4*Para!$G6</f>
        <v>2050</v>
      </c>
      <c r="AP30" s="8">
        <f>AP4*Para!$G6</f>
        <v>2100</v>
      </c>
      <c r="AQ30" s="8">
        <f>AQ4*Para!$G6</f>
        <v>2150</v>
      </c>
      <c r="AR30" s="8">
        <f>AR4*Para!$G6</f>
        <v>2200</v>
      </c>
      <c r="AS30" s="8">
        <f>AS4*Para!$G6</f>
        <v>2250</v>
      </c>
      <c r="AT30" s="8">
        <f>AT4*Para!$G6</f>
        <v>2300</v>
      </c>
      <c r="AU30" s="8">
        <f>AU4*Para!$G6</f>
        <v>2350</v>
      </c>
      <c r="AV30" s="8">
        <f>AV4*Para!$G6</f>
        <v>2400</v>
      </c>
      <c r="AW30" s="8">
        <f>AW4*Para!$G6</f>
        <v>2450</v>
      </c>
      <c r="AX30" s="8">
        <f>AX4*Para!$G6</f>
        <v>2500</v>
      </c>
      <c r="AY30" s="8">
        <f>AY4*Para!$G6</f>
        <v>2550</v>
      </c>
      <c r="AZ30" s="8">
        <f>AZ4*Para!$G6</f>
        <v>2600</v>
      </c>
      <c r="BA30" s="8">
        <f>BA4*Para!$G6</f>
        <v>2650</v>
      </c>
      <c r="BB30" s="8">
        <f>BB4*Para!$G6</f>
        <v>2700</v>
      </c>
      <c r="BC30" s="8">
        <f>BC4*Para!$G6</f>
        <v>2750</v>
      </c>
      <c r="BD30" s="8">
        <f>BD4*Para!$G6</f>
        <v>2800</v>
      </c>
      <c r="BE30" s="8">
        <f>BE4*Para!$G6</f>
        <v>2850</v>
      </c>
      <c r="BF30" s="8">
        <f>BF4*Para!$G6</f>
        <v>2900</v>
      </c>
      <c r="BG30" s="8">
        <f>BG4*Para!$G6</f>
        <v>2950</v>
      </c>
      <c r="BH30" s="8">
        <f>BH4*Para!$G6</f>
        <v>3000</v>
      </c>
      <c r="BI30" s="8">
        <f>BI4*Para!$G6</f>
        <v>3050</v>
      </c>
    </row>
    <row r="31" spans="1:61">
      <c r="A31" s="3" t="str">
        <f t="shared" ref="A31:A39" si="4">A5</f>
        <v>Product 2</v>
      </c>
      <c r="B31" s="8">
        <f>B5*Para!$G7</f>
        <v>0</v>
      </c>
      <c r="C31" s="8">
        <f>C5*Para!$G7</f>
        <v>0</v>
      </c>
      <c r="D31" s="8">
        <f>D5*Para!$G7</f>
        <v>0</v>
      </c>
      <c r="E31" s="8">
        <f>E5*Para!$G7</f>
        <v>0</v>
      </c>
      <c r="F31" s="8">
        <f>F5*Para!$G7</f>
        <v>0</v>
      </c>
      <c r="G31" s="8">
        <f>G5*Para!$G7</f>
        <v>0</v>
      </c>
      <c r="H31" s="8">
        <f>H5*Para!$G7</f>
        <v>0</v>
      </c>
      <c r="I31" s="8">
        <f>I5*Para!$G7</f>
        <v>0</v>
      </c>
      <c r="J31" s="8">
        <f>J5*Para!$G7</f>
        <v>0</v>
      </c>
      <c r="K31" s="8">
        <f>K5*Para!$G7</f>
        <v>0</v>
      </c>
      <c r="L31" s="8">
        <f>L5*Para!$G7</f>
        <v>0</v>
      </c>
      <c r="M31" s="8">
        <f>M5*Para!$G7</f>
        <v>0</v>
      </c>
      <c r="N31" s="8">
        <f>N5*Para!$G7</f>
        <v>0</v>
      </c>
      <c r="O31" s="8">
        <f>O5*Para!$G7</f>
        <v>0</v>
      </c>
      <c r="P31" s="8">
        <f>P5*Para!$G7</f>
        <v>0</v>
      </c>
      <c r="Q31" s="8">
        <f>Q5*Para!$G7</f>
        <v>0</v>
      </c>
      <c r="R31" s="8">
        <f>R5*Para!$G7</f>
        <v>0</v>
      </c>
      <c r="S31" s="8">
        <f>S5*Para!$G7</f>
        <v>0</v>
      </c>
      <c r="T31" s="8">
        <f>T5*Para!$G7</f>
        <v>0</v>
      </c>
      <c r="U31" s="8">
        <f>U5*Para!$G7</f>
        <v>0</v>
      </c>
      <c r="V31" s="8">
        <f>V5*Para!$G7</f>
        <v>0</v>
      </c>
      <c r="W31" s="8">
        <f>W5*Para!$G7</f>
        <v>0</v>
      </c>
      <c r="X31" s="8">
        <f>X5*Para!$G7</f>
        <v>0</v>
      </c>
      <c r="Y31" s="8">
        <f>Y5*Para!$G7</f>
        <v>0</v>
      </c>
      <c r="Z31" s="8">
        <f>Z5*Para!$G7</f>
        <v>0</v>
      </c>
      <c r="AA31" s="8">
        <f>AA5*Para!$G7</f>
        <v>0</v>
      </c>
      <c r="AB31" s="8">
        <f>AB5*Para!$G7</f>
        <v>0</v>
      </c>
      <c r="AC31" s="8">
        <f>AC5*Para!$G7</f>
        <v>0</v>
      </c>
      <c r="AD31" s="8">
        <f>AD5*Para!$G7</f>
        <v>0</v>
      </c>
      <c r="AE31" s="8">
        <f>AE5*Para!$G7</f>
        <v>0</v>
      </c>
      <c r="AF31" s="8">
        <f>AF5*Para!$G7</f>
        <v>0</v>
      </c>
      <c r="AG31" s="8">
        <f>AG5*Para!$G7</f>
        <v>0</v>
      </c>
      <c r="AH31" s="8">
        <f>AH5*Para!$G7</f>
        <v>0</v>
      </c>
      <c r="AI31" s="8">
        <f>AI5*Para!$G7</f>
        <v>0</v>
      </c>
      <c r="AJ31" s="8">
        <f>AJ5*Para!$G7</f>
        <v>0</v>
      </c>
      <c r="AK31" s="8">
        <f>AK5*Para!$G7</f>
        <v>0</v>
      </c>
      <c r="AL31" s="8">
        <f>AL5*Para!$G7</f>
        <v>0</v>
      </c>
      <c r="AM31" s="8">
        <f>AM5*Para!$G7</f>
        <v>0</v>
      </c>
      <c r="AN31" s="8">
        <f>AN5*Para!$G7</f>
        <v>0</v>
      </c>
      <c r="AO31" s="8">
        <f>AO5*Para!$G7</f>
        <v>0</v>
      </c>
      <c r="AP31" s="8">
        <f>AP5*Para!$G7</f>
        <v>0</v>
      </c>
      <c r="AQ31" s="8">
        <f>AQ5*Para!$G7</f>
        <v>0</v>
      </c>
      <c r="AR31" s="8">
        <f>AR5*Para!$G7</f>
        <v>0</v>
      </c>
      <c r="AS31" s="8">
        <f>AS5*Para!$G7</f>
        <v>0</v>
      </c>
      <c r="AT31" s="8">
        <f>AT5*Para!$G7</f>
        <v>0</v>
      </c>
      <c r="AU31" s="8">
        <f>AU5*Para!$G7</f>
        <v>0</v>
      </c>
      <c r="AV31" s="8">
        <f>AV5*Para!$G7</f>
        <v>0</v>
      </c>
      <c r="AW31" s="8">
        <f>AW5*Para!$G7</f>
        <v>0</v>
      </c>
      <c r="AX31" s="8">
        <f>AX5*Para!$G7</f>
        <v>0</v>
      </c>
      <c r="AY31" s="8">
        <f>AY5*Para!$G7</f>
        <v>0</v>
      </c>
      <c r="AZ31" s="8">
        <f>AZ5*Para!$G7</f>
        <v>0</v>
      </c>
      <c r="BA31" s="8">
        <f>BA5*Para!$G7</f>
        <v>0</v>
      </c>
      <c r="BB31" s="8">
        <f>BB5*Para!$G7</f>
        <v>0</v>
      </c>
      <c r="BC31" s="8">
        <f>BC5*Para!$G7</f>
        <v>0</v>
      </c>
      <c r="BD31" s="8">
        <f>BD5*Para!$G7</f>
        <v>0</v>
      </c>
      <c r="BE31" s="8">
        <f>BE5*Para!$G7</f>
        <v>0</v>
      </c>
      <c r="BF31" s="8">
        <f>BF5*Para!$G7</f>
        <v>0</v>
      </c>
      <c r="BG31" s="8">
        <f>BG5*Para!$G7</f>
        <v>0</v>
      </c>
      <c r="BH31" s="8">
        <f>BH5*Para!$G7</f>
        <v>0</v>
      </c>
      <c r="BI31" s="8">
        <f>BI5*Para!$G7</f>
        <v>0</v>
      </c>
    </row>
    <row r="32" spans="1:61">
      <c r="A32" s="3" t="str">
        <f t="shared" si="4"/>
        <v>Product 3</v>
      </c>
      <c r="B32" s="8">
        <f>B6*Para!$G8</f>
        <v>0</v>
      </c>
      <c r="C32" s="8">
        <f>C6*Para!$G8</f>
        <v>0</v>
      </c>
      <c r="D32" s="8">
        <f>D6*Para!$G8</f>
        <v>0</v>
      </c>
      <c r="E32" s="8">
        <f>E6*Para!$G8</f>
        <v>0</v>
      </c>
      <c r="F32" s="8">
        <f>F6*Para!$G8</f>
        <v>0</v>
      </c>
      <c r="G32" s="8">
        <f>G6*Para!$G8</f>
        <v>0</v>
      </c>
      <c r="H32" s="8">
        <f>H6*Para!$G8</f>
        <v>0</v>
      </c>
      <c r="I32" s="8">
        <f>I6*Para!$G8</f>
        <v>0</v>
      </c>
      <c r="J32" s="8">
        <f>J6*Para!$G8</f>
        <v>0</v>
      </c>
      <c r="K32" s="8">
        <f>K6*Para!$G8</f>
        <v>0</v>
      </c>
      <c r="L32" s="8">
        <f>L6*Para!$G8</f>
        <v>0</v>
      </c>
      <c r="M32" s="8">
        <f>M6*Para!$G8</f>
        <v>0</v>
      </c>
      <c r="N32" s="8">
        <f>N6*Para!$G8</f>
        <v>0</v>
      </c>
      <c r="O32" s="8">
        <f>O6*Para!$G8</f>
        <v>0</v>
      </c>
      <c r="P32" s="8">
        <f>P6*Para!$G8</f>
        <v>0</v>
      </c>
      <c r="Q32" s="8">
        <f>Q6*Para!$G8</f>
        <v>0</v>
      </c>
      <c r="R32" s="8">
        <f>R6*Para!$G8</f>
        <v>0</v>
      </c>
      <c r="S32" s="8">
        <f>S6*Para!$G8</f>
        <v>0</v>
      </c>
      <c r="T32" s="8">
        <f>T6*Para!$G8</f>
        <v>0</v>
      </c>
      <c r="U32" s="8">
        <f>U6*Para!$G8</f>
        <v>0</v>
      </c>
      <c r="V32" s="8">
        <f>V6*Para!$G8</f>
        <v>0</v>
      </c>
      <c r="W32" s="8">
        <f>W6*Para!$G8</f>
        <v>0</v>
      </c>
      <c r="X32" s="8">
        <f>X6*Para!$G8</f>
        <v>0</v>
      </c>
      <c r="Y32" s="8">
        <f>Y6*Para!$G8</f>
        <v>0</v>
      </c>
      <c r="Z32" s="8">
        <f>Z6*Para!$G8</f>
        <v>0</v>
      </c>
      <c r="AA32" s="8">
        <f>AA6*Para!$G8</f>
        <v>0</v>
      </c>
      <c r="AB32" s="8">
        <f>AB6*Para!$G8</f>
        <v>0</v>
      </c>
      <c r="AC32" s="8">
        <f>AC6*Para!$G8</f>
        <v>0</v>
      </c>
      <c r="AD32" s="8">
        <f>AD6*Para!$G8</f>
        <v>0</v>
      </c>
      <c r="AE32" s="8">
        <f>AE6*Para!$G8</f>
        <v>0</v>
      </c>
      <c r="AF32" s="8">
        <f>AF6*Para!$G8</f>
        <v>0</v>
      </c>
      <c r="AG32" s="8">
        <f>AG6*Para!$G8</f>
        <v>0</v>
      </c>
      <c r="AH32" s="8">
        <f>AH6*Para!$G8</f>
        <v>0</v>
      </c>
      <c r="AI32" s="8">
        <f>AI6*Para!$G8</f>
        <v>0</v>
      </c>
      <c r="AJ32" s="8">
        <f>AJ6*Para!$G8</f>
        <v>0</v>
      </c>
      <c r="AK32" s="8">
        <f>AK6*Para!$G8</f>
        <v>0</v>
      </c>
      <c r="AL32" s="8">
        <f>AL6*Para!$G8</f>
        <v>0</v>
      </c>
      <c r="AM32" s="8">
        <f>AM6*Para!$G8</f>
        <v>0</v>
      </c>
      <c r="AN32" s="8">
        <f>AN6*Para!$G8</f>
        <v>0</v>
      </c>
      <c r="AO32" s="8">
        <f>AO6*Para!$G8</f>
        <v>0</v>
      </c>
      <c r="AP32" s="8">
        <f>AP6*Para!$G8</f>
        <v>0</v>
      </c>
      <c r="AQ32" s="8">
        <f>AQ6*Para!$G8</f>
        <v>0</v>
      </c>
      <c r="AR32" s="8">
        <f>AR6*Para!$G8</f>
        <v>0</v>
      </c>
      <c r="AS32" s="8">
        <f>AS6*Para!$G8</f>
        <v>0</v>
      </c>
      <c r="AT32" s="8">
        <f>AT6*Para!$G8</f>
        <v>0</v>
      </c>
      <c r="AU32" s="8">
        <f>AU6*Para!$G8</f>
        <v>0</v>
      </c>
      <c r="AV32" s="8">
        <f>AV6*Para!$G8</f>
        <v>0</v>
      </c>
      <c r="AW32" s="8">
        <f>AW6*Para!$G8</f>
        <v>0</v>
      </c>
      <c r="AX32" s="8">
        <f>AX6*Para!$G8</f>
        <v>0</v>
      </c>
      <c r="AY32" s="8">
        <f>AY6*Para!$G8</f>
        <v>0</v>
      </c>
      <c r="AZ32" s="8">
        <f>AZ6*Para!$G8</f>
        <v>0</v>
      </c>
      <c r="BA32" s="8">
        <f>BA6*Para!$G8</f>
        <v>0</v>
      </c>
      <c r="BB32" s="8">
        <f>BB6*Para!$G8</f>
        <v>0</v>
      </c>
      <c r="BC32" s="8">
        <f>BC6*Para!$G8</f>
        <v>0</v>
      </c>
      <c r="BD32" s="8">
        <f>BD6*Para!$G8</f>
        <v>0</v>
      </c>
      <c r="BE32" s="8">
        <f>BE6*Para!$G8</f>
        <v>0</v>
      </c>
      <c r="BF32" s="8">
        <f>BF6*Para!$G8</f>
        <v>0</v>
      </c>
      <c r="BG32" s="8">
        <f>BG6*Para!$G8</f>
        <v>0</v>
      </c>
      <c r="BH32" s="8">
        <f>BH6*Para!$G8</f>
        <v>0</v>
      </c>
      <c r="BI32" s="8">
        <f>BI6*Para!$G8</f>
        <v>0</v>
      </c>
    </row>
    <row r="33" spans="1:61">
      <c r="A33" s="3" t="str">
        <f t="shared" si="4"/>
        <v>Product 4</v>
      </c>
      <c r="B33" s="8">
        <f>B7*Para!$G9</f>
        <v>0</v>
      </c>
      <c r="C33" s="8">
        <f>C7*Para!$G9</f>
        <v>0</v>
      </c>
      <c r="D33" s="8">
        <f>D7*Para!$G9</f>
        <v>0</v>
      </c>
      <c r="E33" s="8">
        <f>E7*Para!$G9</f>
        <v>0</v>
      </c>
      <c r="F33" s="8">
        <f>F7*Para!$G9</f>
        <v>0</v>
      </c>
      <c r="G33" s="8">
        <f>G7*Para!$G9</f>
        <v>0</v>
      </c>
      <c r="H33" s="8">
        <f>H7*Para!$G9</f>
        <v>0</v>
      </c>
      <c r="I33" s="8">
        <f>I7*Para!$G9</f>
        <v>0</v>
      </c>
      <c r="J33" s="8">
        <f>J7*Para!$G9</f>
        <v>0</v>
      </c>
      <c r="K33" s="8">
        <f>K7*Para!$G9</f>
        <v>0</v>
      </c>
      <c r="L33" s="8">
        <f>L7*Para!$G9</f>
        <v>0</v>
      </c>
      <c r="M33" s="8">
        <f>M7*Para!$G9</f>
        <v>0</v>
      </c>
      <c r="N33" s="8">
        <f>N7*Para!$G9</f>
        <v>0</v>
      </c>
      <c r="O33" s="8">
        <f>O7*Para!$G9</f>
        <v>0</v>
      </c>
      <c r="P33" s="8">
        <f>P7*Para!$G9</f>
        <v>0</v>
      </c>
      <c r="Q33" s="8">
        <f>Q7*Para!$G9</f>
        <v>0</v>
      </c>
      <c r="R33" s="8">
        <f>R7*Para!$G9</f>
        <v>0</v>
      </c>
      <c r="S33" s="8">
        <f>S7*Para!$G9</f>
        <v>0</v>
      </c>
      <c r="T33" s="8">
        <f>T7*Para!$G9</f>
        <v>0</v>
      </c>
      <c r="U33" s="8">
        <f>U7*Para!$G9</f>
        <v>0</v>
      </c>
      <c r="V33" s="8">
        <f>V7*Para!$G9</f>
        <v>0</v>
      </c>
      <c r="W33" s="8">
        <f>W7*Para!$G9</f>
        <v>0</v>
      </c>
      <c r="X33" s="8">
        <f>X7*Para!$G9</f>
        <v>0</v>
      </c>
      <c r="Y33" s="8">
        <f>Y7*Para!$G9</f>
        <v>0</v>
      </c>
      <c r="Z33" s="8">
        <f>Z7*Para!$G9</f>
        <v>0</v>
      </c>
      <c r="AA33" s="8">
        <f>AA7*Para!$G9</f>
        <v>0</v>
      </c>
      <c r="AB33" s="8">
        <f>AB7*Para!$G9</f>
        <v>0</v>
      </c>
      <c r="AC33" s="8">
        <f>AC7*Para!$G9</f>
        <v>0</v>
      </c>
      <c r="AD33" s="8">
        <f>AD7*Para!$G9</f>
        <v>0</v>
      </c>
      <c r="AE33" s="8">
        <f>AE7*Para!$G9</f>
        <v>0</v>
      </c>
      <c r="AF33" s="8">
        <f>AF7*Para!$G9</f>
        <v>0</v>
      </c>
      <c r="AG33" s="8">
        <f>AG7*Para!$G9</f>
        <v>0</v>
      </c>
      <c r="AH33" s="8">
        <f>AH7*Para!$G9</f>
        <v>0</v>
      </c>
      <c r="AI33" s="8">
        <f>AI7*Para!$G9</f>
        <v>0</v>
      </c>
      <c r="AJ33" s="8">
        <f>AJ7*Para!$G9</f>
        <v>0</v>
      </c>
      <c r="AK33" s="8">
        <f>AK7*Para!$G9</f>
        <v>0</v>
      </c>
      <c r="AL33" s="8">
        <f>AL7*Para!$G9</f>
        <v>0</v>
      </c>
      <c r="AM33" s="8">
        <f>AM7*Para!$G9</f>
        <v>0</v>
      </c>
      <c r="AN33" s="8">
        <f>AN7*Para!$G9</f>
        <v>0</v>
      </c>
      <c r="AO33" s="8">
        <f>AO7*Para!$G9</f>
        <v>0</v>
      </c>
      <c r="AP33" s="8">
        <f>AP7*Para!$G9</f>
        <v>0</v>
      </c>
      <c r="AQ33" s="8">
        <f>AQ7*Para!$G9</f>
        <v>0</v>
      </c>
      <c r="AR33" s="8">
        <f>AR7*Para!$G9</f>
        <v>0</v>
      </c>
      <c r="AS33" s="8">
        <f>AS7*Para!$G9</f>
        <v>0</v>
      </c>
      <c r="AT33" s="8">
        <f>AT7*Para!$G9</f>
        <v>0</v>
      </c>
      <c r="AU33" s="8">
        <f>AU7*Para!$G9</f>
        <v>0</v>
      </c>
      <c r="AV33" s="8">
        <f>AV7*Para!$G9</f>
        <v>0</v>
      </c>
      <c r="AW33" s="8">
        <f>AW7*Para!$G9</f>
        <v>0</v>
      </c>
      <c r="AX33" s="8">
        <f>AX7*Para!$G9</f>
        <v>0</v>
      </c>
      <c r="AY33" s="8">
        <f>AY7*Para!$G9</f>
        <v>0</v>
      </c>
      <c r="AZ33" s="8">
        <f>AZ7*Para!$G9</f>
        <v>0</v>
      </c>
      <c r="BA33" s="8">
        <f>BA7*Para!$G9</f>
        <v>0</v>
      </c>
      <c r="BB33" s="8">
        <f>BB7*Para!$G9</f>
        <v>0</v>
      </c>
      <c r="BC33" s="8">
        <f>BC7*Para!$G9</f>
        <v>0</v>
      </c>
      <c r="BD33" s="8">
        <f>BD7*Para!$G9</f>
        <v>0</v>
      </c>
      <c r="BE33" s="8">
        <f>BE7*Para!$G9</f>
        <v>0</v>
      </c>
      <c r="BF33" s="8">
        <f>BF7*Para!$G9</f>
        <v>0</v>
      </c>
      <c r="BG33" s="8">
        <f>BG7*Para!$G9</f>
        <v>0</v>
      </c>
      <c r="BH33" s="8">
        <f>BH7*Para!$G9</f>
        <v>0</v>
      </c>
      <c r="BI33" s="8">
        <f>BI7*Para!$G9</f>
        <v>0</v>
      </c>
    </row>
    <row r="34" spans="1:61">
      <c r="A34" s="3" t="str">
        <f t="shared" si="4"/>
        <v>Product 5</v>
      </c>
      <c r="B34" s="8">
        <f>B8*Para!$G10</f>
        <v>0</v>
      </c>
      <c r="C34" s="8">
        <f>C8*Para!$G10</f>
        <v>0</v>
      </c>
      <c r="D34" s="8">
        <f>D8*Para!$G10</f>
        <v>0</v>
      </c>
      <c r="E34" s="8">
        <f>E8*Para!$G10</f>
        <v>0</v>
      </c>
      <c r="F34" s="8">
        <f>F8*Para!$G10</f>
        <v>0</v>
      </c>
      <c r="G34" s="8">
        <f>G8*Para!$G10</f>
        <v>0</v>
      </c>
      <c r="H34" s="8">
        <f>H8*Para!$G10</f>
        <v>0</v>
      </c>
      <c r="I34" s="8">
        <f>I8*Para!$G10</f>
        <v>0</v>
      </c>
      <c r="J34" s="8">
        <f>J8*Para!$G10</f>
        <v>0</v>
      </c>
      <c r="K34" s="8">
        <f>K8*Para!$G10</f>
        <v>0</v>
      </c>
      <c r="L34" s="8">
        <f>L8*Para!$G10</f>
        <v>0</v>
      </c>
      <c r="M34" s="8">
        <f>M8*Para!$G10</f>
        <v>0</v>
      </c>
      <c r="N34" s="8">
        <f>N8*Para!$G10</f>
        <v>0</v>
      </c>
      <c r="O34" s="8">
        <f>O8*Para!$G10</f>
        <v>0</v>
      </c>
      <c r="P34" s="8">
        <f>P8*Para!$G10</f>
        <v>0</v>
      </c>
      <c r="Q34" s="8">
        <f>Q8*Para!$G10</f>
        <v>0</v>
      </c>
      <c r="R34" s="8">
        <f>R8*Para!$G10</f>
        <v>0</v>
      </c>
      <c r="S34" s="8">
        <f>S8*Para!$G10</f>
        <v>0</v>
      </c>
      <c r="T34" s="8">
        <f>T8*Para!$G10</f>
        <v>0</v>
      </c>
      <c r="U34" s="8">
        <f>U8*Para!$G10</f>
        <v>0</v>
      </c>
      <c r="V34" s="8">
        <f>V8*Para!$G10</f>
        <v>0</v>
      </c>
      <c r="W34" s="8">
        <f>W8*Para!$G10</f>
        <v>0</v>
      </c>
      <c r="X34" s="8">
        <f>X8*Para!$G10</f>
        <v>0</v>
      </c>
      <c r="Y34" s="8">
        <f>Y8*Para!$G10</f>
        <v>0</v>
      </c>
      <c r="Z34" s="8">
        <f>Z8*Para!$G10</f>
        <v>0</v>
      </c>
      <c r="AA34" s="8">
        <f>AA8*Para!$G10</f>
        <v>0</v>
      </c>
      <c r="AB34" s="8">
        <f>AB8*Para!$G10</f>
        <v>0</v>
      </c>
      <c r="AC34" s="8">
        <f>AC8*Para!$G10</f>
        <v>0</v>
      </c>
      <c r="AD34" s="8">
        <f>AD8*Para!$G10</f>
        <v>0</v>
      </c>
      <c r="AE34" s="8">
        <f>AE8*Para!$G10</f>
        <v>0</v>
      </c>
      <c r="AF34" s="8">
        <f>AF8*Para!$G10</f>
        <v>0</v>
      </c>
      <c r="AG34" s="8">
        <f>AG8*Para!$G10</f>
        <v>0</v>
      </c>
      <c r="AH34" s="8">
        <f>AH8*Para!$G10</f>
        <v>0</v>
      </c>
      <c r="AI34" s="8">
        <f>AI8*Para!$G10</f>
        <v>0</v>
      </c>
      <c r="AJ34" s="8">
        <f>AJ8*Para!$G10</f>
        <v>0</v>
      </c>
      <c r="AK34" s="8">
        <f>AK8*Para!$G10</f>
        <v>0</v>
      </c>
      <c r="AL34" s="8">
        <f>AL8*Para!$G10</f>
        <v>0</v>
      </c>
      <c r="AM34" s="8">
        <f>AM8*Para!$G10</f>
        <v>0</v>
      </c>
      <c r="AN34" s="8">
        <f>AN8*Para!$G10</f>
        <v>0</v>
      </c>
      <c r="AO34" s="8">
        <f>AO8*Para!$G10</f>
        <v>0</v>
      </c>
      <c r="AP34" s="8">
        <f>AP8*Para!$G10</f>
        <v>0</v>
      </c>
      <c r="AQ34" s="8">
        <f>AQ8*Para!$G10</f>
        <v>0</v>
      </c>
      <c r="AR34" s="8">
        <f>AR8*Para!$G10</f>
        <v>0</v>
      </c>
      <c r="AS34" s="8">
        <f>AS8*Para!$G10</f>
        <v>0</v>
      </c>
      <c r="AT34" s="8">
        <f>AT8*Para!$G10</f>
        <v>0</v>
      </c>
      <c r="AU34" s="8">
        <f>AU8*Para!$G10</f>
        <v>0</v>
      </c>
      <c r="AV34" s="8">
        <f>AV8*Para!$G10</f>
        <v>0</v>
      </c>
      <c r="AW34" s="8">
        <f>AW8*Para!$G10</f>
        <v>0</v>
      </c>
      <c r="AX34" s="8">
        <f>AX8*Para!$G10</f>
        <v>0</v>
      </c>
      <c r="AY34" s="8">
        <f>AY8*Para!$G10</f>
        <v>0</v>
      </c>
      <c r="AZ34" s="8">
        <f>AZ8*Para!$G10</f>
        <v>0</v>
      </c>
      <c r="BA34" s="8">
        <f>BA8*Para!$G10</f>
        <v>0</v>
      </c>
      <c r="BB34" s="8">
        <f>BB8*Para!$G10</f>
        <v>0</v>
      </c>
      <c r="BC34" s="8">
        <f>BC8*Para!$G10</f>
        <v>0</v>
      </c>
      <c r="BD34" s="8">
        <f>BD8*Para!$G10</f>
        <v>0</v>
      </c>
      <c r="BE34" s="8">
        <f>BE8*Para!$G10</f>
        <v>0</v>
      </c>
      <c r="BF34" s="8">
        <f>BF8*Para!$G10</f>
        <v>0</v>
      </c>
      <c r="BG34" s="8">
        <f>BG8*Para!$G10</f>
        <v>0</v>
      </c>
      <c r="BH34" s="8">
        <f>BH8*Para!$G10</f>
        <v>0</v>
      </c>
      <c r="BI34" s="8">
        <f>BI8*Para!$G10</f>
        <v>0</v>
      </c>
    </row>
    <row r="35" spans="1:61">
      <c r="A35" s="3" t="str">
        <f t="shared" si="4"/>
        <v>Product 6</v>
      </c>
      <c r="B35" s="8">
        <f>B9*Para!$G11</f>
        <v>0</v>
      </c>
      <c r="C35" s="8">
        <f>C9*Para!$G11</f>
        <v>0</v>
      </c>
      <c r="D35" s="8">
        <f>D9*Para!$G11</f>
        <v>0</v>
      </c>
      <c r="E35" s="8">
        <f>E9*Para!$G11</f>
        <v>0</v>
      </c>
      <c r="F35" s="8">
        <f>F9*Para!$G11</f>
        <v>0</v>
      </c>
      <c r="G35" s="8">
        <f>G9*Para!$G11</f>
        <v>0</v>
      </c>
      <c r="H35" s="8">
        <f>H9*Para!$G11</f>
        <v>0</v>
      </c>
      <c r="I35" s="8">
        <f>I9*Para!$G11</f>
        <v>0</v>
      </c>
      <c r="J35" s="8">
        <f>J9*Para!$G11</f>
        <v>0</v>
      </c>
      <c r="K35" s="8">
        <f>K9*Para!$G11</f>
        <v>0</v>
      </c>
      <c r="L35" s="8">
        <f>L9*Para!$G11</f>
        <v>0</v>
      </c>
      <c r="M35" s="8">
        <f>M9*Para!$G11</f>
        <v>0</v>
      </c>
      <c r="N35" s="8">
        <f>N9*Para!$G11</f>
        <v>0</v>
      </c>
      <c r="O35" s="8">
        <f>O9*Para!$G11</f>
        <v>0</v>
      </c>
      <c r="P35" s="8">
        <f>P9*Para!$G11</f>
        <v>0</v>
      </c>
      <c r="Q35" s="8">
        <f>Q9*Para!$G11</f>
        <v>0</v>
      </c>
      <c r="R35" s="8">
        <f>R9*Para!$G11</f>
        <v>0</v>
      </c>
      <c r="S35" s="8">
        <f>S9*Para!$G11</f>
        <v>0</v>
      </c>
      <c r="T35" s="8">
        <f>T9*Para!$G11</f>
        <v>0</v>
      </c>
      <c r="U35" s="8">
        <f>U9*Para!$G11</f>
        <v>0</v>
      </c>
      <c r="V35" s="8">
        <f>V9*Para!$G11</f>
        <v>0</v>
      </c>
      <c r="W35" s="8">
        <f>W9*Para!$G11</f>
        <v>0</v>
      </c>
      <c r="X35" s="8">
        <f>X9*Para!$G11</f>
        <v>0</v>
      </c>
      <c r="Y35" s="8">
        <f>Y9*Para!$G11</f>
        <v>0</v>
      </c>
      <c r="Z35" s="8">
        <f>Z9*Para!$G11</f>
        <v>0</v>
      </c>
      <c r="AA35" s="8">
        <f>AA9*Para!$G11</f>
        <v>0</v>
      </c>
      <c r="AB35" s="8">
        <f>AB9*Para!$G11</f>
        <v>0</v>
      </c>
      <c r="AC35" s="8">
        <f>AC9*Para!$G11</f>
        <v>0</v>
      </c>
      <c r="AD35" s="8">
        <f>AD9*Para!$G11</f>
        <v>0</v>
      </c>
      <c r="AE35" s="8">
        <f>AE9*Para!$G11</f>
        <v>0</v>
      </c>
      <c r="AF35" s="8">
        <f>AF9*Para!$G11</f>
        <v>0</v>
      </c>
      <c r="AG35" s="8">
        <f>AG9*Para!$G11</f>
        <v>0</v>
      </c>
      <c r="AH35" s="8">
        <f>AH9*Para!$G11</f>
        <v>0</v>
      </c>
      <c r="AI35" s="8">
        <f>AI9*Para!$G11</f>
        <v>0</v>
      </c>
      <c r="AJ35" s="8">
        <f>AJ9*Para!$G11</f>
        <v>0</v>
      </c>
      <c r="AK35" s="8">
        <f>AK9*Para!$G11</f>
        <v>0</v>
      </c>
      <c r="AL35" s="8">
        <f>AL9*Para!$G11</f>
        <v>0</v>
      </c>
      <c r="AM35" s="8">
        <f>AM9*Para!$G11</f>
        <v>0</v>
      </c>
      <c r="AN35" s="8">
        <f>AN9*Para!$G11</f>
        <v>0</v>
      </c>
      <c r="AO35" s="8">
        <f>AO9*Para!$G11</f>
        <v>0</v>
      </c>
      <c r="AP35" s="8">
        <f>AP9*Para!$G11</f>
        <v>0</v>
      </c>
      <c r="AQ35" s="8">
        <f>AQ9*Para!$G11</f>
        <v>0</v>
      </c>
      <c r="AR35" s="8">
        <f>AR9*Para!$G11</f>
        <v>0</v>
      </c>
      <c r="AS35" s="8">
        <f>AS9*Para!$G11</f>
        <v>0</v>
      </c>
      <c r="AT35" s="8">
        <f>AT9*Para!$G11</f>
        <v>0</v>
      </c>
      <c r="AU35" s="8">
        <f>AU9*Para!$G11</f>
        <v>0</v>
      </c>
      <c r="AV35" s="8">
        <f>AV9*Para!$G11</f>
        <v>0</v>
      </c>
      <c r="AW35" s="8">
        <f>AW9*Para!$G11</f>
        <v>0</v>
      </c>
      <c r="AX35" s="8">
        <f>AX9*Para!$G11</f>
        <v>0</v>
      </c>
      <c r="AY35" s="8">
        <f>AY9*Para!$G11</f>
        <v>0</v>
      </c>
      <c r="AZ35" s="8">
        <f>AZ9*Para!$G11</f>
        <v>0</v>
      </c>
      <c r="BA35" s="8">
        <f>BA9*Para!$G11</f>
        <v>0</v>
      </c>
      <c r="BB35" s="8">
        <f>BB9*Para!$G11</f>
        <v>0</v>
      </c>
      <c r="BC35" s="8">
        <f>BC9*Para!$G11</f>
        <v>0</v>
      </c>
      <c r="BD35" s="8">
        <f>BD9*Para!$G11</f>
        <v>0</v>
      </c>
      <c r="BE35" s="8">
        <f>BE9*Para!$G11</f>
        <v>0</v>
      </c>
      <c r="BF35" s="8">
        <f>BF9*Para!$G11</f>
        <v>0</v>
      </c>
      <c r="BG35" s="8">
        <f>BG9*Para!$G11</f>
        <v>0</v>
      </c>
      <c r="BH35" s="8">
        <f>BH9*Para!$G11</f>
        <v>0</v>
      </c>
      <c r="BI35" s="8">
        <f>BI9*Para!$G11</f>
        <v>0</v>
      </c>
    </row>
    <row r="36" spans="1:61">
      <c r="A36" s="3" t="str">
        <f t="shared" si="4"/>
        <v>Product 7</v>
      </c>
      <c r="B36" s="8">
        <f>B10*Para!$G12</f>
        <v>0</v>
      </c>
      <c r="C36" s="8">
        <f>C10*Para!$G12</f>
        <v>0</v>
      </c>
      <c r="D36" s="8">
        <f>D10*Para!$G12</f>
        <v>0</v>
      </c>
      <c r="E36" s="8">
        <f>E10*Para!$G12</f>
        <v>0</v>
      </c>
      <c r="F36" s="8">
        <f>F10*Para!$G12</f>
        <v>0</v>
      </c>
      <c r="G36" s="8">
        <f>G10*Para!$G12</f>
        <v>0</v>
      </c>
      <c r="H36" s="8">
        <f>H10*Para!$G12</f>
        <v>0</v>
      </c>
      <c r="I36" s="8">
        <f>I10*Para!$G12</f>
        <v>0</v>
      </c>
      <c r="J36" s="8">
        <f>J10*Para!$G12</f>
        <v>0</v>
      </c>
      <c r="K36" s="8">
        <f>K10*Para!$G12</f>
        <v>0</v>
      </c>
      <c r="L36" s="8">
        <f>L10*Para!$G12</f>
        <v>0</v>
      </c>
      <c r="M36" s="8">
        <f>M10*Para!$G12</f>
        <v>0</v>
      </c>
      <c r="N36" s="8">
        <f>N10*Para!$G12</f>
        <v>0</v>
      </c>
      <c r="O36" s="8">
        <f>O10*Para!$G12</f>
        <v>0</v>
      </c>
      <c r="P36" s="8">
        <f>P10*Para!$G12</f>
        <v>0</v>
      </c>
      <c r="Q36" s="8">
        <f>Q10*Para!$G12</f>
        <v>0</v>
      </c>
      <c r="R36" s="8">
        <f>R10*Para!$G12</f>
        <v>0</v>
      </c>
      <c r="S36" s="8">
        <f>S10*Para!$G12</f>
        <v>0</v>
      </c>
      <c r="T36" s="8">
        <f>T10*Para!$G12</f>
        <v>0</v>
      </c>
      <c r="U36" s="8">
        <f>U10*Para!$G12</f>
        <v>0</v>
      </c>
      <c r="V36" s="8">
        <f>V10*Para!$G12</f>
        <v>0</v>
      </c>
      <c r="W36" s="8">
        <f>W10*Para!$G12</f>
        <v>0</v>
      </c>
      <c r="X36" s="8">
        <f>X10*Para!$G12</f>
        <v>0</v>
      </c>
      <c r="Y36" s="8">
        <f>Y10*Para!$G12</f>
        <v>0</v>
      </c>
      <c r="Z36" s="8">
        <f>Z10*Para!$G12</f>
        <v>0</v>
      </c>
      <c r="AA36" s="8">
        <f>AA10*Para!$G12</f>
        <v>0</v>
      </c>
      <c r="AB36" s="8">
        <f>AB10*Para!$G12</f>
        <v>0</v>
      </c>
      <c r="AC36" s="8">
        <f>AC10*Para!$G12</f>
        <v>0</v>
      </c>
      <c r="AD36" s="8">
        <f>AD10*Para!$G12</f>
        <v>0</v>
      </c>
      <c r="AE36" s="8">
        <f>AE10*Para!$G12</f>
        <v>0</v>
      </c>
      <c r="AF36" s="8">
        <f>AF10*Para!$G12</f>
        <v>0</v>
      </c>
      <c r="AG36" s="8">
        <f>AG10*Para!$G12</f>
        <v>0</v>
      </c>
      <c r="AH36" s="8">
        <f>AH10*Para!$G12</f>
        <v>0</v>
      </c>
      <c r="AI36" s="8">
        <f>AI10*Para!$G12</f>
        <v>0</v>
      </c>
      <c r="AJ36" s="8">
        <f>AJ10*Para!$G12</f>
        <v>0</v>
      </c>
      <c r="AK36" s="8">
        <f>AK10*Para!$G12</f>
        <v>0</v>
      </c>
      <c r="AL36" s="8">
        <f>AL10*Para!$G12</f>
        <v>0</v>
      </c>
      <c r="AM36" s="8">
        <f>AM10*Para!$G12</f>
        <v>0</v>
      </c>
      <c r="AN36" s="8">
        <f>AN10*Para!$G12</f>
        <v>0</v>
      </c>
      <c r="AO36" s="8">
        <f>AO10*Para!$G12</f>
        <v>0</v>
      </c>
      <c r="AP36" s="8">
        <f>AP10*Para!$G12</f>
        <v>0</v>
      </c>
      <c r="AQ36" s="8">
        <f>AQ10*Para!$G12</f>
        <v>0</v>
      </c>
      <c r="AR36" s="8">
        <f>AR10*Para!$G12</f>
        <v>0</v>
      </c>
      <c r="AS36" s="8">
        <f>AS10*Para!$G12</f>
        <v>0</v>
      </c>
      <c r="AT36" s="8">
        <f>AT10*Para!$G12</f>
        <v>0</v>
      </c>
      <c r="AU36" s="8">
        <f>AU10*Para!$G12</f>
        <v>0</v>
      </c>
      <c r="AV36" s="8">
        <f>AV10*Para!$G12</f>
        <v>0</v>
      </c>
      <c r="AW36" s="8">
        <f>AW10*Para!$G12</f>
        <v>0</v>
      </c>
      <c r="AX36" s="8">
        <f>AX10*Para!$G12</f>
        <v>0</v>
      </c>
      <c r="AY36" s="8">
        <f>AY10*Para!$G12</f>
        <v>0</v>
      </c>
      <c r="AZ36" s="8">
        <f>AZ10*Para!$G12</f>
        <v>0</v>
      </c>
      <c r="BA36" s="8">
        <f>BA10*Para!$G12</f>
        <v>0</v>
      </c>
      <c r="BB36" s="8">
        <f>BB10*Para!$G12</f>
        <v>0</v>
      </c>
      <c r="BC36" s="8">
        <f>BC10*Para!$G12</f>
        <v>0</v>
      </c>
      <c r="BD36" s="8">
        <f>BD10*Para!$G12</f>
        <v>0</v>
      </c>
      <c r="BE36" s="8">
        <f>BE10*Para!$G12</f>
        <v>0</v>
      </c>
      <c r="BF36" s="8">
        <f>BF10*Para!$G12</f>
        <v>0</v>
      </c>
      <c r="BG36" s="8">
        <f>BG10*Para!$G12</f>
        <v>0</v>
      </c>
      <c r="BH36" s="8">
        <f>BH10*Para!$G12</f>
        <v>0</v>
      </c>
      <c r="BI36" s="8">
        <f>BI10*Para!$G12</f>
        <v>0</v>
      </c>
    </row>
    <row r="37" spans="1:61">
      <c r="A37" s="3" t="str">
        <f t="shared" si="4"/>
        <v>Product 8</v>
      </c>
      <c r="B37" s="8">
        <f>B11*Para!$G13</f>
        <v>0</v>
      </c>
      <c r="C37" s="8">
        <f>C11*Para!$G13</f>
        <v>0</v>
      </c>
      <c r="D37" s="8">
        <f>D11*Para!$G13</f>
        <v>0</v>
      </c>
      <c r="E37" s="8">
        <f>E11*Para!$G13</f>
        <v>0</v>
      </c>
      <c r="F37" s="8">
        <f>F11*Para!$G13</f>
        <v>0</v>
      </c>
      <c r="G37" s="8">
        <f>G11*Para!$G13</f>
        <v>0</v>
      </c>
      <c r="H37" s="8">
        <f>H11*Para!$G13</f>
        <v>0</v>
      </c>
      <c r="I37" s="8">
        <f>I11*Para!$G13</f>
        <v>0</v>
      </c>
      <c r="J37" s="8">
        <f>J11*Para!$G13</f>
        <v>0</v>
      </c>
      <c r="K37" s="8">
        <f>K11*Para!$G13</f>
        <v>0</v>
      </c>
      <c r="L37" s="8">
        <f>L11*Para!$G13</f>
        <v>0</v>
      </c>
      <c r="M37" s="8">
        <f>M11*Para!$G13</f>
        <v>0</v>
      </c>
      <c r="N37" s="8">
        <f>N11*Para!$G13</f>
        <v>0</v>
      </c>
      <c r="O37" s="8">
        <f>O11*Para!$G13</f>
        <v>0</v>
      </c>
      <c r="P37" s="8">
        <f>P11*Para!$G13</f>
        <v>0</v>
      </c>
      <c r="Q37" s="8">
        <f>Q11*Para!$G13</f>
        <v>0</v>
      </c>
      <c r="R37" s="8">
        <f>R11*Para!$G13</f>
        <v>0</v>
      </c>
      <c r="S37" s="8">
        <f>S11*Para!$G13</f>
        <v>0</v>
      </c>
      <c r="T37" s="8">
        <f>T11*Para!$G13</f>
        <v>0</v>
      </c>
      <c r="U37" s="8">
        <f>U11*Para!$G13</f>
        <v>0</v>
      </c>
      <c r="V37" s="8">
        <f>V11*Para!$G13</f>
        <v>0</v>
      </c>
      <c r="W37" s="8">
        <f>W11*Para!$G13</f>
        <v>0</v>
      </c>
      <c r="X37" s="8">
        <f>X11*Para!$G13</f>
        <v>0</v>
      </c>
      <c r="Y37" s="8">
        <f>Y11*Para!$G13</f>
        <v>0</v>
      </c>
      <c r="Z37" s="8">
        <f>Z11*Para!$G13</f>
        <v>0</v>
      </c>
      <c r="AA37" s="8">
        <f>AA11*Para!$G13</f>
        <v>0</v>
      </c>
      <c r="AB37" s="8">
        <f>AB11*Para!$G13</f>
        <v>0</v>
      </c>
      <c r="AC37" s="8">
        <f>AC11*Para!$G13</f>
        <v>0</v>
      </c>
      <c r="AD37" s="8">
        <f>AD11*Para!$G13</f>
        <v>0</v>
      </c>
      <c r="AE37" s="8">
        <f>AE11*Para!$G13</f>
        <v>0</v>
      </c>
      <c r="AF37" s="8">
        <f>AF11*Para!$G13</f>
        <v>0</v>
      </c>
      <c r="AG37" s="8">
        <f>AG11*Para!$G13</f>
        <v>0</v>
      </c>
      <c r="AH37" s="8">
        <f>AH11*Para!$G13</f>
        <v>0</v>
      </c>
      <c r="AI37" s="8">
        <f>AI11*Para!$G13</f>
        <v>0</v>
      </c>
      <c r="AJ37" s="8">
        <f>AJ11*Para!$G13</f>
        <v>0</v>
      </c>
      <c r="AK37" s="8">
        <f>AK11*Para!$G13</f>
        <v>0</v>
      </c>
      <c r="AL37" s="8">
        <f>AL11*Para!$G13</f>
        <v>0</v>
      </c>
      <c r="AM37" s="8">
        <f>AM11*Para!$G13</f>
        <v>0</v>
      </c>
      <c r="AN37" s="8">
        <f>AN11*Para!$G13</f>
        <v>0</v>
      </c>
      <c r="AO37" s="8">
        <f>AO11*Para!$G13</f>
        <v>0</v>
      </c>
      <c r="AP37" s="8">
        <f>AP11*Para!$G13</f>
        <v>0</v>
      </c>
      <c r="AQ37" s="8">
        <f>AQ11*Para!$G13</f>
        <v>0</v>
      </c>
      <c r="AR37" s="8">
        <f>AR11*Para!$G13</f>
        <v>0</v>
      </c>
      <c r="AS37" s="8">
        <f>AS11*Para!$G13</f>
        <v>0</v>
      </c>
      <c r="AT37" s="8">
        <f>AT11*Para!$G13</f>
        <v>0</v>
      </c>
      <c r="AU37" s="8">
        <f>AU11*Para!$G13</f>
        <v>0</v>
      </c>
      <c r="AV37" s="8">
        <f>AV11*Para!$G13</f>
        <v>0</v>
      </c>
      <c r="AW37" s="8">
        <f>AW11*Para!$G13</f>
        <v>0</v>
      </c>
      <c r="AX37" s="8">
        <f>AX11*Para!$G13</f>
        <v>0</v>
      </c>
      <c r="AY37" s="8">
        <f>AY11*Para!$G13</f>
        <v>0</v>
      </c>
      <c r="AZ37" s="8">
        <f>AZ11*Para!$G13</f>
        <v>0</v>
      </c>
      <c r="BA37" s="8">
        <f>BA11*Para!$G13</f>
        <v>0</v>
      </c>
      <c r="BB37" s="8">
        <f>BB11*Para!$G13</f>
        <v>0</v>
      </c>
      <c r="BC37" s="8">
        <f>BC11*Para!$G13</f>
        <v>0</v>
      </c>
      <c r="BD37" s="8">
        <f>BD11*Para!$G13</f>
        <v>0</v>
      </c>
      <c r="BE37" s="8">
        <f>BE11*Para!$G13</f>
        <v>0</v>
      </c>
      <c r="BF37" s="8">
        <f>BF11*Para!$G13</f>
        <v>0</v>
      </c>
      <c r="BG37" s="8">
        <f>BG11*Para!$G13</f>
        <v>0</v>
      </c>
      <c r="BH37" s="8">
        <f>BH11*Para!$G13</f>
        <v>0</v>
      </c>
      <c r="BI37" s="8">
        <f>BI11*Para!$G13</f>
        <v>0</v>
      </c>
    </row>
    <row r="38" spans="1:61">
      <c r="A38" s="3" t="str">
        <f t="shared" si="4"/>
        <v>Product 9</v>
      </c>
      <c r="B38" s="8">
        <f>B12*Para!$G14</f>
        <v>0</v>
      </c>
      <c r="C38" s="8">
        <f>C12*Para!$G14</f>
        <v>0</v>
      </c>
      <c r="D38" s="8">
        <f>D12*Para!$G14</f>
        <v>0</v>
      </c>
      <c r="E38" s="8">
        <f>E12*Para!$G14</f>
        <v>0</v>
      </c>
      <c r="F38" s="8">
        <f>F12*Para!$G14</f>
        <v>0</v>
      </c>
      <c r="G38" s="8">
        <f>G12*Para!$G14</f>
        <v>0</v>
      </c>
      <c r="H38" s="8">
        <f>H12*Para!$G14</f>
        <v>0</v>
      </c>
      <c r="I38" s="8">
        <f>I12*Para!$G14</f>
        <v>0</v>
      </c>
      <c r="J38" s="8">
        <f>J12*Para!$G14</f>
        <v>0</v>
      </c>
      <c r="K38" s="8">
        <f>K12*Para!$G14</f>
        <v>0</v>
      </c>
      <c r="L38" s="8">
        <f>L12*Para!$G14</f>
        <v>0</v>
      </c>
      <c r="M38" s="8">
        <f>M12*Para!$G14</f>
        <v>0</v>
      </c>
      <c r="N38" s="8">
        <f>N12*Para!$G14</f>
        <v>0</v>
      </c>
      <c r="O38" s="8">
        <f>O12*Para!$G14</f>
        <v>0</v>
      </c>
      <c r="P38" s="8">
        <f>P12*Para!$G14</f>
        <v>0</v>
      </c>
      <c r="Q38" s="8">
        <f>Q12*Para!$G14</f>
        <v>0</v>
      </c>
      <c r="R38" s="8">
        <f>R12*Para!$G14</f>
        <v>0</v>
      </c>
      <c r="S38" s="8">
        <f>S12*Para!$G14</f>
        <v>0</v>
      </c>
      <c r="T38" s="8">
        <f>T12*Para!$G14</f>
        <v>0</v>
      </c>
      <c r="U38" s="8">
        <f>U12*Para!$G14</f>
        <v>0</v>
      </c>
      <c r="V38" s="8">
        <f>V12*Para!$G14</f>
        <v>0</v>
      </c>
      <c r="W38" s="8">
        <f>W12*Para!$G14</f>
        <v>0</v>
      </c>
      <c r="X38" s="8">
        <f>X12*Para!$G14</f>
        <v>0</v>
      </c>
      <c r="Y38" s="8">
        <f>Y12*Para!$G14</f>
        <v>0</v>
      </c>
      <c r="Z38" s="8">
        <f>Z12*Para!$G14</f>
        <v>0</v>
      </c>
      <c r="AA38" s="8">
        <f>AA12*Para!$G14</f>
        <v>0</v>
      </c>
      <c r="AB38" s="8">
        <f>AB12*Para!$G14</f>
        <v>0</v>
      </c>
      <c r="AC38" s="8">
        <f>AC12*Para!$G14</f>
        <v>0</v>
      </c>
      <c r="AD38" s="8">
        <f>AD12*Para!$G14</f>
        <v>0</v>
      </c>
      <c r="AE38" s="8">
        <f>AE12*Para!$G14</f>
        <v>0</v>
      </c>
      <c r="AF38" s="8">
        <f>AF12*Para!$G14</f>
        <v>0</v>
      </c>
      <c r="AG38" s="8">
        <f>AG12*Para!$G14</f>
        <v>0</v>
      </c>
      <c r="AH38" s="8">
        <f>AH12*Para!$G14</f>
        <v>0</v>
      </c>
      <c r="AI38" s="8">
        <f>AI12*Para!$G14</f>
        <v>0</v>
      </c>
      <c r="AJ38" s="8">
        <f>AJ12*Para!$G14</f>
        <v>0</v>
      </c>
      <c r="AK38" s="8">
        <f>AK12*Para!$G14</f>
        <v>0</v>
      </c>
      <c r="AL38" s="8">
        <f>AL12*Para!$G14</f>
        <v>0</v>
      </c>
      <c r="AM38" s="8">
        <f>AM12*Para!$G14</f>
        <v>0</v>
      </c>
      <c r="AN38" s="8">
        <f>AN12*Para!$G14</f>
        <v>0</v>
      </c>
      <c r="AO38" s="8">
        <f>AO12*Para!$G14</f>
        <v>0</v>
      </c>
      <c r="AP38" s="8">
        <f>AP12*Para!$G14</f>
        <v>0</v>
      </c>
      <c r="AQ38" s="8">
        <f>AQ12*Para!$G14</f>
        <v>0</v>
      </c>
      <c r="AR38" s="8">
        <f>AR12*Para!$G14</f>
        <v>0</v>
      </c>
      <c r="AS38" s="8">
        <f>AS12*Para!$G14</f>
        <v>0</v>
      </c>
      <c r="AT38" s="8">
        <f>AT12*Para!$G14</f>
        <v>0</v>
      </c>
      <c r="AU38" s="8">
        <f>AU12*Para!$G14</f>
        <v>0</v>
      </c>
      <c r="AV38" s="8">
        <f>AV12*Para!$G14</f>
        <v>0</v>
      </c>
      <c r="AW38" s="8">
        <f>AW12*Para!$G14</f>
        <v>0</v>
      </c>
      <c r="AX38" s="8">
        <f>AX12*Para!$G14</f>
        <v>0</v>
      </c>
      <c r="AY38" s="8">
        <f>AY12*Para!$G14</f>
        <v>0</v>
      </c>
      <c r="AZ38" s="8">
        <f>AZ12*Para!$G14</f>
        <v>0</v>
      </c>
      <c r="BA38" s="8">
        <f>BA12*Para!$G14</f>
        <v>0</v>
      </c>
      <c r="BB38" s="8">
        <f>BB12*Para!$G14</f>
        <v>0</v>
      </c>
      <c r="BC38" s="8">
        <f>BC12*Para!$G14</f>
        <v>0</v>
      </c>
      <c r="BD38" s="8">
        <f>BD12*Para!$G14</f>
        <v>0</v>
      </c>
      <c r="BE38" s="8">
        <f>BE12*Para!$G14</f>
        <v>0</v>
      </c>
      <c r="BF38" s="8">
        <f>BF12*Para!$G14</f>
        <v>0</v>
      </c>
      <c r="BG38" s="8">
        <f>BG12*Para!$G14</f>
        <v>0</v>
      </c>
      <c r="BH38" s="8">
        <f>BH12*Para!$G14</f>
        <v>0</v>
      </c>
      <c r="BI38" s="8">
        <f>BI12*Para!$G14</f>
        <v>0</v>
      </c>
    </row>
    <row r="39" spans="1:61">
      <c r="A39" s="3" t="str">
        <f t="shared" si="4"/>
        <v>Product 10</v>
      </c>
      <c r="B39" s="8">
        <f>B13*Para!$G15</f>
        <v>0</v>
      </c>
      <c r="C39" s="8">
        <f>C13*Para!$G15</f>
        <v>0</v>
      </c>
      <c r="D39" s="8">
        <f>D13*Para!$G15</f>
        <v>0</v>
      </c>
      <c r="E39" s="8">
        <f>E13*Para!$G15</f>
        <v>0</v>
      </c>
      <c r="F39" s="8">
        <f>F13*Para!$G15</f>
        <v>0</v>
      </c>
      <c r="G39" s="8">
        <f>G13*Para!$G15</f>
        <v>0</v>
      </c>
      <c r="H39" s="8">
        <f>H13*Para!$G15</f>
        <v>0</v>
      </c>
      <c r="I39" s="8">
        <f>I13*Para!$G15</f>
        <v>0</v>
      </c>
      <c r="J39" s="8">
        <f>J13*Para!$G15</f>
        <v>0</v>
      </c>
      <c r="K39" s="8">
        <f>K13*Para!$G15</f>
        <v>0</v>
      </c>
      <c r="L39" s="8">
        <f>L13*Para!$G15</f>
        <v>0</v>
      </c>
      <c r="M39" s="8">
        <f>M13*Para!$G15</f>
        <v>0</v>
      </c>
      <c r="N39" s="8">
        <f>N13*Para!$G15</f>
        <v>0</v>
      </c>
      <c r="O39" s="8">
        <f>O13*Para!$G15</f>
        <v>0</v>
      </c>
      <c r="P39" s="8">
        <f>P13*Para!$G15</f>
        <v>0</v>
      </c>
      <c r="Q39" s="8">
        <f>Q13*Para!$G15</f>
        <v>0</v>
      </c>
      <c r="R39" s="8">
        <f>R13*Para!$G15</f>
        <v>0</v>
      </c>
      <c r="S39" s="8">
        <f>S13*Para!$G15</f>
        <v>0</v>
      </c>
      <c r="T39" s="8">
        <f>T13*Para!$G15</f>
        <v>0</v>
      </c>
      <c r="U39" s="8">
        <f>U13*Para!$G15</f>
        <v>0</v>
      </c>
      <c r="V39" s="8">
        <f>V13*Para!$G15</f>
        <v>0</v>
      </c>
      <c r="W39" s="8">
        <f>W13*Para!$G15</f>
        <v>0</v>
      </c>
      <c r="X39" s="8">
        <f>X13*Para!$G15</f>
        <v>0</v>
      </c>
      <c r="Y39" s="8">
        <f>Y13*Para!$G15</f>
        <v>0</v>
      </c>
      <c r="Z39" s="8">
        <f>Z13*Para!$G15</f>
        <v>0</v>
      </c>
      <c r="AA39" s="8">
        <f>AA13*Para!$G15</f>
        <v>0</v>
      </c>
      <c r="AB39" s="8">
        <f>AB13*Para!$G15</f>
        <v>0</v>
      </c>
      <c r="AC39" s="8">
        <f>AC13*Para!$G15</f>
        <v>0</v>
      </c>
      <c r="AD39" s="8">
        <f>AD13*Para!$G15</f>
        <v>0</v>
      </c>
      <c r="AE39" s="8">
        <f>AE13*Para!$G15</f>
        <v>0</v>
      </c>
      <c r="AF39" s="8">
        <f>AF13*Para!$G15</f>
        <v>0</v>
      </c>
      <c r="AG39" s="8">
        <f>AG13*Para!$G15</f>
        <v>0</v>
      </c>
      <c r="AH39" s="8">
        <f>AH13*Para!$G15</f>
        <v>0</v>
      </c>
      <c r="AI39" s="8">
        <f>AI13*Para!$G15</f>
        <v>0</v>
      </c>
      <c r="AJ39" s="8">
        <f>AJ13*Para!$G15</f>
        <v>0</v>
      </c>
      <c r="AK39" s="8">
        <f>AK13*Para!$G15</f>
        <v>0</v>
      </c>
      <c r="AL39" s="8">
        <f>AL13*Para!$G15</f>
        <v>0</v>
      </c>
      <c r="AM39" s="8">
        <f>AM13*Para!$G15</f>
        <v>0</v>
      </c>
      <c r="AN39" s="8">
        <f>AN13*Para!$G15</f>
        <v>0</v>
      </c>
      <c r="AO39" s="8">
        <f>AO13*Para!$G15</f>
        <v>0</v>
      </c>
      <c r="AP39" s="8">
        <f>AP13*Para!$G15</f>
        <v>0</v>
      </c>
      <c r="AQ39" s="8">
        <f>AQ13*Para!$G15</f>
        <v>0</v>
      </c>
      <c r="AR39" s="8">
        <f>AR13*Para!$G15</f>
        <v>0</v>
      </c>
      <c r="AS39" s="8">
        <f>AS13*Para!$G15</f>
        <v>0</v>
      </c>
      <c r="AT39" s="8">
        <f>AT13*Para!$G15</f>
        <v>0</v>
      </c>
      <c r="AU39" s="8">
        <f>AU13*Para!$G15</f>
        <v>0</v>
      </c>
      <c r="AV39" s="8">
        <f>AV13*Para!$G15</f>
        <v>0</v>
      </c>
      <c r="AW39" s="8">
        <f>AW13*Para!$G15</f>
        <v>0</v>
      </c>
      <c r="AX39" s="8">
        <f>AX13*Para!$G15</f>
        <v>0</v>
      </c>
      <c r="AY39" s="8">
        <f>AY13*Para!$G15</f>
        <v>0</v>
      </c>
      <c r="AZ39" s="8">
        <f>AZ13*Para!$G15</f>
        <v>0</v>
      </c>
      <c r="BA39" s="8">
        <f>BA13*Para!$G15</f>
        <v>0</v>
      </c>
      <c r="BB39" s="8">
        <f>BB13*Para!$G15</f>
        <v>0</v>
      </c>
      <c r="BC39" s="8">
        <f>BC13*Para!$G15</f>
        <v>0</v>
      </c>
      <c r="BD39" s="8">
        <f>BD13*Para!$G15</f>
        <v>0</v>
      </c>
      <c r="BE39" s="8">
        <f>BE13*Para!$G15</f>
        <v>0</v>
      </c>
      <c r="BF39" s="8">
        <f>BF13*Para!$G15</f>
        <v>0</v>
      </c>
      <c r="BG39" s="8">
        <f>BG13*Para!$G15</f>
        <v>0</v>
      </c>
      <c r="BH39" s="8">
        <f>BH13*Para!$G15</f>
        <v>0</v>
      </c>
      <c r="BI39" s="8">
        <f>BI13*Para!$G15</f>
        <v>0</v>
      </c>
    </row>
    <row r="40" spans="1:61" ht="13">
      <c r="A40" s="5"/>
      <c r="B40" s="5"/>
    </row>
    <row r="41" spans="1:61">
      <c r="A41" s="49" t="s">
        <v>74</v>
      </c>
      <c r="B41" s="8">
        <f>SUM(B30:B39)</f>
        <v>100</v>
      </c>
      <c r="C41" s="8">
        <f t="shared" ref="C41:BI41" si="5">SUM(C30:C39)</f>
        <v>150</v>
      </c>
      <c r="D41" s="8">
        <f t="shared" si="5"/>
        <v>200</v>
      </c>
      <c r="E41" s="8">
        <f t="shared" si="5"/>
        <v>250</v>
      </c>
      <c r="F41" s="8">
        <f t="shared" si="5"/>
        <v>300</v>
      </c>
      <c r="G41" s="8">
        <f t="shared" si="5"/>
        <v>350</v>
      </c>
      <c r="H41" s="8">
        <f t="shared" si="5"/>
        <v>400</v>
      </c>
      <c r="I41" s="8">
        <f t="shared" si="5"/>
        <v>450</v>
      </c>
      <c r="J41" s="8">
        <f t="shared" si="5"/>
        <v>500</v>
      </c>
      <c r="K41" s="8">
        <f t="shared" si="5"/>
        <v>550</v>
      </c>
      <c r="L41" s="8">
        <f t="shared" si="5"/>
        <v>600</v>
      </c>
      <c r="M41" s="8">
        <f t="shared" si="5"/>
        <v>650</v>
      </c>
      <c r="N41" s="8">
        <f t="shared" si="5"/>
        <v>700</v>
      </c>
      <c r="O41" s="8">
        <f t="shared" si="5"/>
        <v>750</v>
      </c>
      <c r="P41" s="8">
        <f t="shared" si="5"/>
        <v>800</v>
      </c>
      <c r="Q41" s="8">
        <f t="shared" si="5"/>
        <v>850</v>
      </c>
      <c r="R41" s="8">
        <f t="shared" si="5"/>
        <v>900</v>
      </c>
      <c r="S41" s="8">
        <f t="shared" si="5"/>
        <v>950</v>
      </c>
      <c r="T41" s="8">
        <f t="shared" si="5"/>
        <v>1000</v>
      </c>
      <c r="U41" s="8">
        <f t="shared" si="5"/>
        <v>1050</v>
      </c>
      <c r="V41" s="8">
        <f t="shared" si="5"/>
        <v>1100</v>
      </c>
      <c r="W41" s="8">
        <f t="shared" si="5"/>
        <v>1150</v>
      </c>
      <c r="X41" s="8">
        <f t="shared" si="5"/>
        <v>1200</v>
      </c>
      <c r="Y41" s="8">
        <f t="shared" si="5"/>
        <v>1250</v>
      </c>
      <c r="Z41" s="8">
        <f t="shared" si="5"/>
        <v>1300</v>
      </c>
      <c r="AA41" s="8">
        <f t="shared" si="5"/>
        <v>1350</v>
      </c>
      <c r="AB41" s="8">
        <f t="shared" si="5"/>
        <v>1400</v>
      </c>
      <c r="AC41" s="8">
        <f t="shared" si="5"/>
        <v>1450</v>
      </c>
      <c r="AD41" s="8">
        <f t="shared" si="5"/>
        <v>1500</v>
      </c>
      <c r="AE41" s="8">
        <f t="shared" si="5"/>
        <v>1550</v>
      </c>
      <c r="AF41" s="8">
        <f t="shared" si="5"/>
        <v>1600</v>
      </c>
      <c r="AG41" s="8">
        <f t="shared" si="5"/>
        <v>1650</v>
      </c>
      <c r="AH41" s="8">
        <f t="shared" si="5"/>
        <v>1700</v>
      </c>
      <c r="AI41" s="8">
        <f t="shared" si="5"/>
        <v>1750</v>
      </c>
      <c r="AJ41" s="8">
        <f t="shared" si="5"/>
        <v>1800</v>
      </c>
      <c r="AK41" s="8">
        <f t="shared" si="5"/>
        <v>1850</v>
      </c>
      <c r="AL41" s="8">
        <f t="shared" si="5"/>
        <v>1900</v>
      </c>
      <c r="AM41" s="8">
        <f t="shared" si="5"/>
        <v>1950</v>
      </c>
      <c r="AN41" s="8">
        <f t="shared" si="5"/>
        <v>2000</v>
      </c>
      <c r="AO41" s="8">
        <f t="shared" si="5"/>
        <v>2050</v>
      </c>
      <c r="AP41" s="8">
        <f t="shared" si="5"/>
        <v>2100</v>
      </c>
      <c r="AQ41" s="8">
        <f t="shared" si="5"/>
        <v>2150</v>
      </c>
      <c r="AR41" s="8">
        <f t="shared" si="5"/>
        <v>2200</v>
      </c>
      <c r="AS41" s="8">
        <f t="shared" si="5"/>
        <v>2250</v>
      </c>
      <c r="AT41" s="8">
        <f t="shared" si="5"/>
        <v>2300</v>
      </c>
      <c r="AU41" s="8">
        <f t="shared" si="5"/>
        <v>2350</v>
      </c>
      <c r="AV41" s="8">
        <f t="shared" si="5"/>
        <v>2400</v>
      </c>
      <c r="AW41" s="8">
        <f t="shared" si="5"/>
        <v>2450</v>
      </c>
      <c r="AX41" s="8">
        <f t="shared" si="5"/>
        <v>2500</v>
      </c>
      <c r="AY41" s="8">
        <f t="shared" si="5"/>
        <v>2550</v>
      </c>
      <c r="AZ41" s="8">
        <f t="shared" si="5"/>
        <v>2600</v>
      </c>
      <c r="BA41" s="8">
        <f t="shared" si="5"/>
        <v>2650</v>
      </c>
      <c r="BB41" s="8">
        <f t="shared" si="5"/>
        <v>2700</v>
      </c>
      <c r="BC41" s="8">
        <f t="shared" si="5"/>
        <v>2750</v>
      </c>
      <c r="BD41" s="8">
        <f t="shared" si="5"/>
        <v>2800</v>
      </c>
      <c r="BE41" s="8">
        <f t="shared" si="5"/>
        <v>2850</v>
      </c>
      <c r="BF41" s="8">
        <f t="shared" si="5"/>
        <v>2900</v>
      </c>
      <c r="BG41" s="8">
        <f t="shared" si="5"/>
        <v>2950</v>
      </c>
      <c r="BH41" s="8">
        <f t="shared" si="5"/>
        <v>3000</v>
      </c>
      <c r="BI41" s="8">
        <f t="shared" si="5"/>
        <v>3050</v>
      </c>
    </row>
    <row r="43" spans="1:61">
      <c r="A43" s="49" t="s">
        <v>12</v>
      </c>
    </row>
    <row r="44" spans="1:61">
      <c r="A44" s="3" t="str">
        <f>A4</f>
        <v>Product 1</v>
      </c>
      <c r="B44" s="8">
        <f>B4*Para!$I6</f>
        <v>40</v>
      </c>
      <c r="C44" s="8">
        <f>C4*Para!$I6</f>
        <v>60</v>
      </c>
      <c r="D44" s="8">
        <f>D4*Para!$I6</f>
        <v>80</v>
      </c>
      <c r="E44" s="8">
        <f>E4*Para!$I6</f>
        <v>100</v>
      </c>
      <c r="F44" s="8">
        <f>F4*Para!$I6</f>
        <v>120</v>
      </c>
      <c r="G44" s="8">
        <f>G4*Para!$I6</f>
        <v>140</v>
      </c>
      <c r="H44" s="8">
        <f>H4*Para!$I6</f>
        <v>160</v>
      </c>
      <c r="I44" s="8">
        <f>I4*Para!$I6</f>
        <v>180</v>
      </c>
      <c r="J44" s="8">
        <f>J4*Para!$I6</f>
        <v>200</v>
      </c>
      <c r="K44" s="8">
        <f>K4*Para!$I6</f>
        <v>220</v>
      </c>
      <c r="L44" s="8">
        <f>L4*Para!$I6</f>
        <v>240</v>
      </c>
      <c r="M44" s="8">
        <f>M4*Para!$I6</f>
        <v>260</v>
      </c>
      <c r="N44" s="8">
        <f>N4*Para!$I6</f>
        <v>280</v>
      </c>
      <c r="O44" s="8">
        <f>O4*Para!$I6</f>
        <v>300</v>
      </c>
      <c r="P44" s="8">
        <f>P4*Para!$I6</f>
        <v>320</v>
      </c>
      <c r="Q44" s="8">
        <f>Q4*Para!$I6</f>
        <v>340</v>
      </c>
      <c r="R44" s="8">
        <f>R4*Para!$I6</f>
        <v>360</v>
      </c>
      <c r="S44" s="8">
        <f>S4*Para!$I6</f>
        <v>380</v>
      </c>
      <c r="T44" s="8">
        <f>T4*Para!$I6</f>
        <v>400</v>
      </c>
      <c r="U44" s="8">
        <f>U4*Para!$I6</f>
        <v>420</v>
      </c>
      <c r="V44" s="8">
        <f>V4*Para!$I6</f>
        <v>440</v>
      </c>
      <c r="W44" s="8">
        <f>W4*Para!$I6</f>
        <v>460</v>
      </c>
      <c r="X44" s="8">
        <f>X4*Para!$I6</f>
        <v>480</v>
      </c>
      <c r="Y44" s="8">
        <f>Y4*Para!$I6</f>
        <v>500</v>
      </c>
      <c r="Z44" s="8">
        <f>Z4*Para!$I6</f>
        <v>520</v>
      </c>
      <c r="AA44" s="8">
        <f>AA4*Para!$I6</f>
        <v>540</v>
      </c>
      <c r="AB44" s="8">
        <f>AB4*Para!$I6</f>
        <v>560</v>
      </c>
      <c r="AC44" s="8">
        <f>AC4*Para!$I6</f>
        <v>580</v>
      </c>
      <c r="AD44" s="8">
        <f>AD4*Para!$I6</f>
        <v>600</v>
      </c>
      <c r="AE44" s="8">
        <f>AE4*Para!$I6</f>
        <v>620</v>
      </c>
      <c r="AF44" s="8">
        <f>AF4*Para!$I6</f>
        <v>640</v>
      </c>
      <c r="AG44" s="8">
        <f>AG4*Para!$I6</f>
        <v>660</v>
      </c>
      <c r="AH44" s="8">
        <f>AH4*Para!$I6</f>
        <v>680</v>
      </c>
      <c r="AI44" s="8">
        <f>AI4*Para!$I6</f>
        <v>700</v>
      </c>
      <c r="AJ44" s="8">
        <f>AJ4*Para!$I6</f>
        <v>720</v>
      </c>
      <c r="AK44" s="8">
        <f>AK4*Para!$I6</f>
        <v>740</v>
      </c>
      <c r="AL44" s="8">
        <f>AL4*Para!$I6</f>
        <v>760</v>
      </c>
      <c r="AM44" s="8">
        <f>AM4*Para!$I6</f>
        <v>780</v>
      </c>
      <c r="AN44" s="8">
        <f>AN4*Para!$I6</f>
        <v>800</v>
      </c>
      <c r="AO44" s="8">
        <f>AO4*Para!$I6</f>
        <v>820</v>
      </c>
      <c r="AP44" s="8">
        <f>AP4*Para!$I6</f>
        <v>840</v>
      </c>
      <c r="AQ44" s="8">
        <f>AQ4*Para!$I6</f>
        <v>860</v>
      </c>
      <c r="AR44" s="8">
        <f>AR4*Para!$I6</f>
        <v>880</v>
      </c>
      <c r="AS44" s="8">
        <f>AS4*Para!$I6</f>
        <v>900</v>
      </c>
      <c r="AT44" s="8">
        <f>AT4*Para!$I6</f>
        <v>920</v>
      </c>
      <c r="AU44" s="8">
        <f>AU4*Para!$I6</f>
        <v>940</v>
      </c>
      <c r="AV44" s="8">
        <f>AV4*Para!$I6</f>
        <v>960</v>
      </c>
      <c r="AW44" s="8">
        <f>AW4*Para!$I6</f>
        <v>980</v>
      </c>
      <c r="AX44" s="8">
        <f>AX4*Para!$I6</f>
        <v>1000</v>
      </c>
      <c r="AY44" s="8">
        <f>AY4*Para!$I6</f>
        <v>1020</v>
      </c>
      <c r="AZ44" s="8">
        <f>AZ4*Para!$I6</f>
        <v>1040</v>
      </c>
      <c r="BA44" s="8">
        <f>BA4*Para!$I6</f>
        <v>1060</v>
      </c>
      <c r="BB44" s="8">
        <f>BB4*Para!$I6</f>
        <v>1080</v>
      </c>
      <c r="BC44" s="8">
        <f>BC4*Para!$I6</f>
        <v>1100</v>
      </c>
      <c r="BD44" s="8">
        <f>BD4*Para!$I6</f>
        <v>1120</v>
      </c>
      <c r="BE44" s="8">
        <f>BE4*Para!$I6</f>
        <v>1140</v>
      </c>
      <c r="BF44" s="8">
        <f>BF4*Para!$I6</f>
        <v>1160</v>
      </c>
      <c r="BG44" s="8">
        <f>BG4*Para!$I6</f>
        <v>1180</v>
      </c>
      <c r="BH44" s="8">
        <f>BH4*Para!$I6</f>
        <v>1200</v>
      </c>
      <c r="BI44" s="8">
        <f>BI4*Para!$I6</f>
        <v>1220</v>
      </c>
    </row>
    <row r="45" spans="1:61">
      <c r="A45" s="3" t="str">
        <f t="shared" ref="A45:A53" si="6">A5</f>
        <v>Product 2</v>
      </c>
      <c r="B45" s="8">
        <f>B5*Para!$I7</f>
        <v>0</v>
      </c>
      <c r="C45" s="8">
        <f>C5*Para!$I7</f>
        <v>0</v>
      </c>
      <c r="D45" s="8">
        <f>D5*Para!$I7</f>
        <v>0</v>
      </c>
      <c r="E45" s="8">
        <f>E5*Para!$I7</f>
        <v>0</v>
      </c>
      <c r="F45" s="8">
        <f>F5*Para!$I7</f>
        <v>0</v>
      </c>
      <c r="G45" s="8">
        <f>G5*Para!$I7</f>
        <v>0</v>
      </c>
      <c r="H45" s="8">
        <f>H5*Para!$I7</f>
        <v>0</v>
      </c>
      <c r="I45" s="8">
        <f>I5*Para!$I7</f>
        <v>0</v>
      </c>
      <c r="J45" s="8">
        <f>J5*Para!$I7</f>
        <v>0</v>
      </c>
      <c r="K45" s="8">
        <f>K5*Para!$I7</f>
        <v>0</v>
      </c>
      <c r="L45" s="8">
        <f>L5*Para!$I7</f>
        <v>0</v>
      </c>
      <c r="M45" s="8">
        <f>M5*Para!$I7</f>
        <v>0</v>
      </c>
      <c r="N45" s="8">
        <f>N5*Para!$I7</f>
        <v>0</v>
      </c>
      <c r="O45" s="8">
        <f>O5*Para!$I7</f>
        <v>0</v>
      </c>
      <c r="P45" s="8">
        <f>P5*Para!$I7</f>
        <v>0</v>
      </c>
      <c r="Q45" s="8">
        <f>Q5*Para!$I7</f>
        <v>0</v>
      </c>
      <c r="R45" s="8">
        <f>R5*Para!$I7</f>
        <v>0</v>
      </c>
      <c r="S45" s="8">
        <f>S5*Para!$I7</f>
        <v>0</v>
      </c>
      <c r="T45" s="8">
        <f>T5*Para!$I7</f>
        <v>0</v>
      </c>
      <c r="U45" s="8">
        <f>U5*Para!$I7</f>
        <v>0</v>
      </c>
      <c r="V45" s="8">
        <f>V5*Para!$I7</f>
        <v>0</v>
      </c>
      <c r="W45" s="8">
        <f>W5*Para!$I7</f>
        <v>0</v>
      </c>
      <c r="X45" s="8">
        <f>X5*Para!$I7</f>
        <v>0</v>
      </c>
      <c r="Y45" s="8">
        <f>Y5*Para!$I7</f>
        <v>0</v>
      </c>
      <c r="Z45" s="8">
        <f>Z5*Para!$I7</f>
        <v>0</v>
      </c>
      <c r="AA45" s="8">
        <f>AA5*Para!$I7</f>
        <v>0</v>
      </c>
      <c r="AB45" s="8">
        <f>AB5*Para!$I7</f>
        <v>0</v>
      </c>
      <c r="AC45" s="8">
        <f>AC5*Para!$I7</f>
        <v>0</v>
      </c>
      <c r="AD45" s="8">
        <f>AD5*Para!$I7</f>
        <v>0</v>
      </c>
      <c r="AE45" s="8">
        <f>AE5*Para!$I7</f>
        <v>0</v>
      </c>
      <c r="AF45" s="8">
        <f>AF5*Para!$I7</f>
        <v>0</v>
      </c>
      <c r="AG45" s="8">
        <f>AG5*Para!$I7</f>
        <v>0</v>
      </c>
      <c r="AH45" s="8">
        <f>AH5*Para!$I7</f>
        <v>0</v>
      </c>
      <c r="AI45" s="8">
        <f>AI5*Para!$I7</f>
        <v>0</v>
      </c>
      <c r="AJ45" s="8">
        <f>AJ5*Para!$I7</f>
        <v>0</v>
      </c>
      <c r="AK45" s="8">
        <f>AK5*Para!$I7</f>
        <v>0</v>
      </c>
      <c r="AL45" s="8">
        <f>AL5*Para!$I7</f>
        <v>0</v>
      </c>
      <c r="AM45" s="8">
        <f>AM5*Para!$I7</f>
        <v>0</v>
      </c>
      <c r="AN45" s="8">
        <f>AN5*Para!$I7</f>
        <v>0</v>
      </c>
      <c r="AO45" s="8">
        <f>AO5*Para!$I7</f>
        <v>0</v>
      </c>
      <c r="AP45" s="8">
        <f>AP5*Para!$I7</f>
        <v>0</v>
      </c>
      <c r="AQ45" s="8">
        <f>AQ5*Para!$I7</f>
        <v>0</v>
      </c>
      <c r="AR45" s="8">
        <f>AR5*Para!$I7</f>
        <v>0</v>
      </c>
      <c r="AS45" s="8">
        <f>AS5*Para!$I7</f>
        <v>0</v>
      </c>
      <c r="AT45" s="8">
        <f>AT5*Para!$I7</f>
        <v>0</v>
      </c>
      <c r="AU45" s="8">
        <f>AU5*Para!$I7</f>
        <v>0</v>
      </c>
      <c r="AV45" s="8">
        <f>AV5*Para!$I7</f>
        <v>0</v>
      </c>
      <c r="AW45" s="8">
        <f>AW5*Para!$I7</f>
        <v>0</v>
      </c>
      <c r="AX45" s="8">
        <f>AX5*Para!$I7</f>
        <v>0</v>
      </c>
      <c r="AY45" s="8">
        <f>AY5*Para!$I7</f>
        <v>0</v>
      </c>
      <c r="AZ45" s="8">
        <f>AZ5*Para!$I7</f>
        <v>0</v>
      </c>
      <c r="BA45" s="8">
        <f>BA5*Para!$I7</f>
        <v>0</v>
      </c>
      <c r="BB45" s="8">
        <f>BB5*Para!$I7</f>
        <v>0</v>
      </c>
      <c r="BC45" s="8">
        <f>BC5*Para!$I7</f>
        <v>0</v>
      </c>
      <c r="BD45" s="8">
        <f>BD5*Para!$I7</f>
        <v>0</v>
      </c>
      <c r="BE45" s="8">
        <f>BE5*Para!$I7</f>
        <v>0</v>
      </c>
      <c r="BF45" s="8">
        <f>BF5*Para!$I7</f>
        <v>0</v>
      </c>
      <c r="BG45" s="8">
        <f>BG5*Para!$I7</f>
        <v>0</v>
      </c>
      <c r="BH45" s="8">
        <f>BH5*Para!$I7</f>
        <v>0</v>
      </c>
      <c r="BI45" s="8">
        <f>BI5*Para!$I7</f>
        <v>0</v>
      </c>
    </row>
    <row r="46" spans="1:61">
      <c r="A46" s="3" t="str">
        <f t="shared" si="6"/>
        <v>Product 3</v>
      </c>
      <c r="B46" s="8">
        <f>B6*Para!$I8</f>
        <v>0</v>
      </c>
      <c r="C46" s="8">
        <f>C6*Para!$I8</f>
        <v>0</v>
      </c>
      <c r="D46" s="8">
        <f>D6*Para!$I8</f>
        <v>0</v>
      </c>
      <c r="E46" s="8">
        <f>E6*Para!$I8</f>
        <v>0</v>
      </c>
      <c r="F46" s="8">
        <f>F6*Para!$I8</f>
        <v>0</v>
      </c>
      <c r="G46" s="8">
        <f>G6*Para!$I8</f>
        <v>0</v>
      </c>
      <c r="H46" s="8">
        <f>H6*Para!$I8</f>
        <v>0</v>
      </c>
      <c r="I46" s="8">
        <f>I6*Para!$I8</f>
        <v>0</v>
      </c>
      <c r="J46" s="8">
        <f>J6*Para!$I8</f>
        <v>0</v>
      </c>
      <c r="K46" s="8">
        <f>K6*Para!$I8</f>
        <v>0</v>
      </c>
      <c r="L46" s="8">
        <f>L6*Para!$I8</f>
        <v>0</v>
      </c>
      <c r="M46" s="8">
        <f>M6*Para!$I8</f>
        <v>0</v>
      </c>
      <c r="N46" s="8">
        <f>N6*Para!$I8</f>
        <v>0</v>
      </c>
      <c r="O46" s="8">
        <f>O6*Para!$I8</f>
        <v>0</v>
      </c>
      <c r="P46" s="8">
        <f>P6*Para!$I8</f>
        <v>0</v>
      </c>
      <c r="Q46" s="8">
        <f>Q6*Para!$I8</f>
        <v>0</v>
      </c>
      <c r="R46" s="8">
        <f>R6*Para!$I8</f>
        <v>0</v>
      </c>
      <c r="S46" s="8">
        <f>S6*Para!$I8</f>
        <v>0</v>
      </c>
      <c r="T46" s="8">
        <f>T6*Para!$I8</f>
        <v>0</v>
      </c>
      <c r="U46" s="8">
        <f>U6*Para!$I8</f>
        <v>0</v>
      </c>
      <c r="V46" s="8">
        <f>V6*Para!$I8</f>
        <v>0</v>
      </c>
      <c r="W46" s="8">
        <f>W6*Para!$I8</f>
        <v>0</v>
      </c>
      <c r="X46" s="8">
        <f>X6*Para!$I8</f>
        <v>0</v>
      </c>
      <c r="Y46" s="8">
        <f>Y6*Para!$I8</f>
        <v>0</v>
      </c>
      <c r="Z46" s="8">
        <f>Z6*Para!$I8</f>
        <v>0</v>
      </c>
      <c r="AA46" s="8">
        <f>AA6*Para!$I8</f>
        <v>0</v>
      </c>
      <c r="AB46" s="8">
        <f>AB6*Para!$I8</f>
        <v>0</v>
      </c>
      <c r="AC46" s="8">
        <f>AC6*Para!$I8</f>
        <v>0</v>
      </c>
      <c r="AD46" s="8">
        <f>AD6*Para!$I8</f>
        <v>0</v>
      </c>
      <c r="AE46" s="8">
        <f>AE6*Para!$I8</f>
        <v>0</v>
      </c>
      <c r="AF46" s="8">
        <f>AF6*Para!$I8</f>
        <v>0</v>
      </c>
      <c r="AG46" s="8">
        <f>AG6*Para!$I8</f>
        <v>0</v>
      </c>
      <c r="AH46" s="8">
        <f>AH6*Para!$I8</f>
        <v>0</v>
      </c>
      <c r="AI46" s="8">
        <f>AI6*Para!$I8</f>
        <v>0</v>
      </c>
      <c r="AJ46" s="8">
        <f>AJ6*Para!$I8</f>
        <v>0</v>
      </c>
      <c r="AK46" s="8">
        <f>AK6*Para!$I8</f>
        <v>0</v>
      </c>
      <c r="AL46" s="8">
        <f>AL6*Para!$I8</f>
        <v>0</v>
      </c>
      <c r="AM46" s="8">
        <f>AM6*Para!$I8</f>
        <v>0</v>
      </c>
      <c r="AN46" s="8">
        <f>AN6*Para!$I8</f>
        <v>0</v>
      </c>
      <c r="AO46" s="8">
        <f>AO6*Para!$I8</f>
        <v>0</v>
      </c>
      <c r="AP46" s="8">
        <f>AP6*Para!$I8</f>
        <v>0</v>
      </c>
      <c r="AQ46" s="8">
        <f>AQ6*Para!$I8</f>
        <v>0</v>
      </c>
      <c r="AR46" s="8">
        <f>AR6*Para!$I8</f>
        <v>0</v>
      </c>
      <c r="AS46" s="8">
        <f>AS6*Para!$I8</f>
        <v>0</v>
      </c>
      <c r="AT46" s="8">
        <f>AT6*Para!$I8</f>
        <v>0</v>
      </c>
      <c r="AU46" s="8">
        <f>AU6*Para!$I8</f>
        <v>0</v>
      </c>
      <c r="AV46" s="8">
        <f>AV6*Para!$I8</f>
        <v>0</v>
      </c>
      <c r="AW46" s="8">
        <f>AW6*Para!$I8</f>
        <v>0</v>
      </c>
      <c r="AX46" s="8">
        <f>AX6*Para!$I8</f>
        <v>0</v>
      </c>
      <c r="AY46" s="8">
        <f>AY6*Para!$I8</f>
        <v>0</v>
      </c>
      <c r="AZ46" s="8">
        <f>AZ6*Para!$I8</f>
        <v>0</v>
      </c>
      <c r="BA46" s="8">
        <f>BA6*Para!$I8</f>
        <v>0</v>
      </c>
      <c r="BB46" s="8">
        <f>BB6*Para!$I8</f>
        <v>0</v>
      </c>
      <c r="BC46" s="8">
        <f>BC6*Para!$I8</f>
        <v>0</v>
      </c>
      <c r="BD46" s="8">
        <f>BD6*Para!$I8</f>
        <v>0</v>
      </c>
      <c r="BE46" s="8">
        <f>BE6*Para!$I8</f>
        <v>0</v>
      </c>
      <c r="BF46" s="8">
        <f>BF6*Para!$I8</f>
        <v>0</v>
      </c>
      <c r="BG46" s="8">
        <f>BG6*Para!$I8</f>
        <v>0</v>
      </c>
      <c r="BH46" s="8">
        <f>BH6*Para!$I8</f>
        <v>0</v>
      </c>
      <c r="BI46" s="8">
        <f>BI6*Para!$I8</f>
        <v>0</v>
      </c>
    </row>
    <row r="47" spans="1:61">
      <c r="A47" s="3" t="str">
        <f t="shared" si="6"/>
        <v>Product 4</v>
      </c>
      <c r="B47" s="8">
        <f>B7*Para!$I9</f>
        <v>0</v>
      </c>
      <c r="C47" s="8">
        <f>C7*Para!$I9</f>
        <v>0</v>
      </c>
      <c r="D47" s="8">
        <f>D7*Para!$I9</f>
        <v>0</v>
      </c>
      <c r="E47" s="8">
        <f>E7*Para!$I9</f>
        <v>0</v>
      </c>
      <c r="F47" s="8">
        <f>F7*Para!$I9</f>
        <v>0</v>
      </c>
      <c r="G47" s="8">
        <f>G7*Para!$I9</f>
        <v>0</v>
      </c>
      <c r="H47" s="8">
        <f>H7*Para!$I9</f>
        <v>0</v>
      </c>
      <c r="I47" s="8">
        <f>I7*Para!$I9</f>
        <v>0</v>
      </c>
      <c r="J47" s="8">
        <f>J7*Para!$I9</f>
        <v>0</v>
      </c>
      <c r="K47" s="8">
        <f>K7*Para!$I9</f>
        <v>0</v>
      </c>
      <c r="L47" s="8">
        <f>L7*Para!$I9</f>
        <v>0</v>
      </c>
      <c r="M47" s="8">
        <f>M7*Para!$I9</f>
        <v>0</v>
      </c>
      <c r="N47" s="8">
        <f>N7*Para!$I9</f>
        <v>0</v>
      </c>
      <c r="O47" s="8">
        <f>O7*Para!$I9</f>
        <v>0</v>
      </c>
      <c r="P47" s="8">
        <f>P7*Para!$I9</f>
        <v>0</v>
      </c>
      <c r="Q47" s="8">
        <f>Q7*Para!$I9</f>
        <v>0</v>
      </c>
      <c r="R47" s="8">
        <f>R7*Para!$I9</f>
        <v>0</v>
      </c>
      <c r="S47" s="8">
        <f>S7*Para!$I9</f>
        <v>0</v>
      </c>
      <c r="T47" s="8">
        <f>T7*Para!$I9</f>
        <v>0</v>
      </c>
      <c r="U47" s="8">
        <f>U7*Para!$I9</f>
        <v>0</v>
      </c>
      <c r="V47" s="8">
        <f>V7*Para!$I9</f>
        <v>0</v>
      </c>
      <c r="W47" s="8">
        <f>W7*Para!$I9</f>
        <v>0</v>
      </c>
      <c r="X47" s="8">
        <f>X7*Para!$I9</f>
        <v>0</v>
      </c>
      <c r="Y47" s="8">
        <f>Y7*Para!$I9</f>
        <v>0</v>
      </c>
      <c r="Z47" s="8">
        <f>Z7*Para!$I9</f>
        <v>0</v>
      </c>
      <c r="AA47" s="8">
        <f>AA7*Para!$I9</f>
        <v>0</v>
      </c>
      <c r="AB47" s="8">
        <f>AB7*Para!$I9</f>
        <v>0</v>
      </c>
      <c r="AC47" s="8">
        <f>AC7*Para!$I9</f>
        <v>0</v>
      </c>
      <c r="AD47" s="8">
        <f>AD7*Para!$I9</f>
        <v>0</v>
      </c>
      <c r="AE47" s="8">
        <f>AE7*Para!$I9</f>
        <v>0</v>
      </c>
      <c r="AF47" s="8">
        <f>AF7*Para!$I9</f>
        <v>0</v>
      </c>
      <c r="AG47" s="8">
        <f>AG7*Para!$I9</f>
        <v>0</v>
      </c>
      <c r="AH47" s="8">
        <f>AH7*Para!$I9</f>
        <v>0</v>
      </c>
      <c r="AI47" s="8">
        <f>AI7*Para!$I9</f>
        <v>0</v>
      </c>
      <c r="AJ47" s="8">
        <f>AJ7*Para!$I9</f>
        <v>0</v>
      </c>
      <c r="AK47" s="8">
        <f>AK7*Para!$I9</f>
        <v>0</v>
      </c>
      <c r="AL47" s="8">
        <f>AL7*Para!$I9</f>
        <v>0</v>
      </c>
      <c r="AM47" s="8">
        <f>AM7*Para!$I9</f>
        <v>0</v>
      </c>
      <c r="AN47" s="8">
        <f>AN7*Para!$I9</f>
        <v>0</v>
      </c>
      <c r="AO47" s="8">
        <f>AO7*Para!$I9</f>
        <v>0</v>
      </c>
      <c r="AP47" s="8">
        <f>AP7*Para!$I9</f>
        <v>0</v>
      </c>
      <c r="AQ47" s="8">
        <f>AQ7*Para!$I9</f>
        <v>0</v>
      </c>
      <c r="AR47" s="8">
        <f>AR7*Para!$I9</f>
        <v>0</v>
      </c>
      <c r="AS47" s="8">
        <f>AS7*Para!$I9</f>
        <v>0</v>
      </c>
      <c r="AT47" s="8">
        <f>AT7*Para!$I9</f>
        <v>0</v>
      </c>
      <c r="AU47" s="8">
        <f>AU7*Para!$I9</f>
        <v>0</v>
      </c>
      <c r="AV47" s="8">
        <f>AV7*Para!$I9</f>
        <v>0</v>
      </c>
      <c r="AW47" s="8">
        <f>AW7*Para!$I9</f>
        <v>0</v>
      </c>
      <c r="AX47" s="8">
        <f>AX7*Para!$I9</f>
        <v>0</v>
      </c>
      <c r="AY47" s="8">
        <f>AY7*Para!$I9</f>
        <v>0</v>
      </c>
      <c r="AZ47" s="8">
        <f>AZ7*Para!$I9</f>
        <v>0</v>
      </c>
      <c r="BA47" s="8">
        <f>BA7*Para!$I9</f>
        <v>0</v>
      </c>
      <c r="BB47" s="8">
        <f>BB7*Para!$I9</f>
        <v>0</v>
      </c>
      <c r="BC47" s="8">
        <f>BC7*Para!$I9</f>
        <v>0</v>
      </c>
      <c r="BD47" s="8">
        <f>BD7*Para!$I9</f>
        <v>0</v>
      </c>
      <c r="BE47" s="8">
        <f>BE7*Para!$I9</f>
        <v>0</v>
      </c>
      <c r="BF47" s="8">
        <f>BF7*Para!$I9</f>
        <v>0</v>
      </c>
      <c r="BG47" s="8">
        <f>BG7*Para!$I9</f>
        <v>0</v>
      </c>
      <c r="BH47" s="8">
        <f>BH7*Para!$I9</f>
        <v>0</v>
      </c>
      <c r="BI47" s="8">
        <f>BI7*Para!$I9</f>
        <v>0</v>
      </c>
    </row>
    <row r="48" spans="1:61">
      <c r="A48" s="3" t="str">
        <f t="shared" si="6"/>
        <v>Product 5</v>
      </c>
      <c r="B48" s="8">
        <f>B8*Para!$I10</f>
        <v>0</v>
      </c>
      <c r="C48" s="8">
        <f>C8*Para!$I10</f>
        <v>0</v>
      </c>
      <c r="D48" s="8">
        <f>D8*Para!$I10</f>
        <v>0</v>
      </c>
      <c r="E48" s="8">
        <f>E8*Para!$I10</f>
        <v>0</v>
      </c>
      <c r="F48" s="8">
        <f>F8*Para!$I10</f>
        <v>0</v>
      </c>
      <c r="G48" s="8">
        <f>G8*Para!$I10</f>
        <v>0</v>
      </c>
      <c r="H48" s="8">
        <f>H8*Para!$I10</f>
        <v>0</v>
      </c>
      <c r="I48" s="8">
        <f>I8*Para!$I10</f>
        <v>0</v>
      </c>
      <c r="J48" s="8">
        <f>J8*Para!$I10</f>
        <v>0</v>
      </c>
      <c r="K48" s="8">
        <f>K8*Para!$I10</f>
        <v>0</v>
      </c>
      <c r="L48" s="8">
        <f>L8*Para!$I10</f>
        <v>0</v>
      </c>
      <c r="M48" s="8">
        <f>M8*Para!$I10</f>
        <v>0</v>
      </c>
      <c r="N48" s="8">
        <f>N8*Para!$I10</f>
        <v>0</v>
      </c>
      <c r="O48" s="8">
        <f>O8*Para!$I10</f>
        <v>0</v>
      </c>
      <c r="P48" s="8">
        <f>P8*Para!$I10</f>
        <v>0</v>
      </c>
      <c r="Q48" s="8">
        <f>Q8*Para!$I10</f>
        <v>0</v>
      </c>
      <c r="R48" s="8">
        <f>R8*Para!$I10</f>
        <v>0</v>
      </c>
      <c r="S48" s="8">
        <f>S8*Para!$I10</f>
        <v>0</v>
      </c>
      <c r="T48" s="8">
        <f>T8*Para!$I10</f>
        <v>0</v>
      </c>
      <c r="U48" s="8">
        <f>U8*Para!$I10</f>
        <v>0</v>
      </c>
      <c r="V48" s="8">
        <f>V8*Para!$I10</f>
        <v>0</v>
      </c>
      <c r="W48" s="8">
        <f>W8*Para!$I10</f>
        <v>0</v>
      </c>
      <c r="X48" s="8">
        <f>X8*Para!$I10</f>
        <v>0</v>
      </c>
      <c r="Y48" s="8">
        <f>Y8*Para!$I10</f>
        <v>0</v>
      </c>
      <c r="Z48" s="8">
        <f>Z8*Para!$I10</f>
        <v>0</v>
      </c>
      <c r="AA48" s="8">
        <f>AA8*Para!$I10</f>
        <v>0</v>
      </c>
      <c r="AB48" s="8">
        <f>AB8*Para!$I10</f>
        <v>0</v>
      </c>
      <c r="AC48" s="8">
        <f>AC8*Para!$I10</f>
        <v>0</v>
      </c>
      <c r="AD48" s="8">
        <f>AD8*Para!$I10</f>
        <v>0</v>
      </c>
      <c r="AE48" s="8">
        <f>AE8*Para!$I10</f>
        <v>0</v>
      </c>
      <c r="AF48" s="8">
        <f>AF8*Para!$I10</f>
        <v>0</v>
      </c>
      <c r="AG48" s="8">
        <f>AG8*Para!$I10</f>
        <v>0</v>
      </c>
      <c r="AH48" s="8">
        <f>AH8*Para!$I10</f>
        <v>0</v>
      </c>
      <c r="AI48" s="8">
        <f>AI8*Para!$I10</f>
        <v>0</v>
      </c>
      <c r="AJ48" s="8">
        <f>AJ8*Para!$I10</f>
        <v>0</v>
      </c>
      <c r="AK48" s="8">
        <f>AK8*Para!$I10</f>
        <v>0</v>
      </c>
      <c r="AL48" s="8">
        <f>AL8*Para!$I10</f>
        <v>0</v>
      </c>
      <c r="AM48" s="8">
        <f>AM8*Para!$I10</f>
        <v>0</v>
      </c>
      <c r="AN48" s="8">
        <f>AN8*Para!$I10</f>
        <v>0</v>
      </c>
      <c r="AO48" s="8">
        <f>AO8*Para!$I10</f>
        <v>0</v>
      </c>
      <c r="AP48" s="8">
        <f>AP8*Para!$I10</f>
        <v>0</v>
      </c>
      <c r="AQ48" s="8">
        <f>AQ8*Para!$I10</f>
        <v>0</v>
      </c>
      <c r="AR48" s="8">
        <f>AR8*Para!$I10</f>
        <v>0</v>
      </c>
      <c r="AS48" s="8">
        <f>AS8*Para!$I10</f>
        <v>0</v>
      </c>
      <c r="AT48" s="8">
        <f>AT8*Para!$I10</f>
        <v>0</v>
      </c>
      <c r="AU48" s="8">
        <f>AU8*Para!$I10</f>
        <v>0</v>
      </c>
      <c r="AV48" s="8">
        <f>AV8*Para!$I10</f>
        <v>0</v>
      </c>
      <c r="AW48" s="8">
        <f>AW8*Para!$I10</f>
        <v>0</v>
      </c>
      <c r="AX48" s="8">
        <f>AX8*Para!$I10</f>
        <v>0</v>
      </c>
      <c r="AY48" s="8">
        <f>AY8*Para!$I10</f>
        <v>0</v>
      </c>
      <c r="AZ48" s="8">
        <f>AZ8*Para!$I10</f>
        <v>0</v>
      </c>
      <c r="BA48" s="8">
        <f>BA8*Para!$I10</f>
        <v>0</v>
      </c>
      <c r="BB48" s="8">
        <f>BB8*Para!$I10</f>
        <v>0</v>
      </c>
      <c r="BC48" s="8">
        <f>BC8*Para!$I10</f>
        <v>0</v>
      </c>
      <c r="BD48" s="8">
        <f>BD8*Para!$I10</f>
        <v>0</v>
      </c>
      <c r="BE48" s="8">
        <f>BE8*Para!$I10</f>
        <v>0</v>
      </c>
      <c r="BF48" s="8">
        <f>BF8*Para!$I10</f>
        <v>0</v>
      </c>
      <c r="BG48" s="8">
        <f>BG8*Para!$I10</f>
        <v>0</v>
      </c>
      <c r="BH48" s="8">
        <f>BH8*Para!$I10</f>
        <v>0</v>
      </c>
      <c r="BI48" s="8">
        <f>BI8*Para!$I10</f>
        <v>0</v>
      </c>
    </row>
    <row r="49" spans="1:61">
      <c r="A49" s="3" t="str">
        <f t="shared" si="6"/>
        <v>Product 6</v>
      </c>
      <c r="B49" s="8">
        <f>B9*Para!$I11</f>
        <v>0</v>
      </c>
      <c r="C49" s="8">
        <f>C9*Para!$I11</f>
        <v>0</v>
      </c>
      <c r="D49" s="8">
        <f>D9*Para!$I11</f>
        <v>0</v>
      </c>
      <c r="E49" s="8">
        <f>E9*Para!$I11</f>
        <v>0</v>
      </c>
      <c r="F49" s="8">
        <f>F9*Para!$I11</f>
        <v>0</v>
      </c>
      <c r="G49" s="8">
        <f>G9*Para!$I11</f>
        <v>0</v>
      </c>
      <c r="H49" s="8">
        <f>H9*Para!$I11</f>
        <v>0</v>
      </c>
      <c r="I49" s="8">
        <f>I9*Para!$I11</f>
        <v>0</v>
      </c>
      <c r="J49" s="8">
        <f>J9*Para!$I11</f>
        <v>0</v>
      </c>
      <c r="K49" s="8">
        <f>K9*Para!$I11</f>
        <v>0</v>
      </c>
      <c r="L49" s="8">
        <f>L9*Para!$I11</f>
        <v>0</v>
      </c>
      <c r="M49" s="8">
        <f>M9*Para!$I11</f>
        <v>0</v>
      </c>
      <c r="N49" s="8">
        <f>N9*Para!$I11</f>
        <v>0</v>
      </c>
      <c r="O49" s="8">
        <f>O9*Para!$I11</f>
        <v>0</v>
      </c>
      <c r="P49" s="8">
        <f>P9*Para!$I11</f>
        <v>0</v>
      </c>
      <c r="Q49" s="8">
        <f>Q9*Para!$I11</f>
        <v>0</v>
      </c>
      <c r="R49" s="8">
        <f>R9*Para!$I11</f>
        <v>0</v>
      </c>
      <c r="S49" s="8">
        <f>S9*Para!$I11</f>
        <v>0</v>
      </c>
      <c r="T49" s="8">
        <f>T9*Para!$I11</f>
        <v>0</v>
      </c>
      <c r="U49" s="8">
        <f>U9*Para!$I11</f>
        <v>0</v>
      </c>
      <c r="V49" s="8">
        <f>V9*Para!$I11</f>
        <v>0</v>
      </c>
      <c r="W49" s="8">
        <f>W9*Para!$I11</f>
        <v>0</v>
      </c>
      <c r="X49" s="8">
        <f>X9*Para!$I11</f>
        <v>0</v>
      </c>
      <c r="Y49" s="8">
        <f>Y9*Para!$I11</f>
        <v>0</v>
      </c>
      <c r="Z49" s="8">
        <f>Z9*Para!$I11</f>
        <v>0</v>
      </c>
      <c r="AA49" s="8">
        <f>AA9*Para!$I11</f>
        <v>0</v>
      </c>
      <c r="AB49" s="8">
        <f>AB9*Para!$I11</f>
        <v>0</v>
      </c>
      <c r="AC49" s="8">
        <f>AC9*Para!$I11</f>
        <v>0</v>
      </c>
      <c r="AD49" s="8">
        <f>AD9*Para!$I11</f>
        <v>0</v>
      </c>
      <c r="AE49" s="8">
        <f>AE9*Para!$I11</f>
        <v>0</v>
      </c>
      <c r="AF49" s="8">
        <f>AF9*Para!$I11</f>
        <v>0</v>
      </c>
      <c r="AG49" s="8">
        <f>AG9*Para!$I11</f>
        <v>0</v>
      </c>
      <c r="AH49" s="8">
        <f>AH9*Para!$I11</f>
        <v>0</v>
      </c>
      <c r="AI49" s="8">
        <f>AI9*Para!$I11</f>
        <v>0</v>
      </c>
      <c r="AJ49" s="8">
        <f>AJ9*Para!$I11</f>
        <v>0</v>
      </c>
      <c r="AK49" s="8">
        <f>AK9*Para!$I11</f>
        <v>0</v>
      </c>
      <c r="AL49" s="8">
        <f>AL9*Para!$I11</f>
        <v>0</v>
      </c>
      <c r="AM49" s="8">
        <f>AM9*Para!$I11</f>
        <v>0</v>
      </c>
      <c r="AN49" s="8">
        <f>AN9*Para!$I11</f>
        <v>0</v>
      </c>
      <c r="AO49" s="8">
        <f>AO9*Para!$I11</f>
        <v>0</v>
      </c>
      <c r="AP49" s="8">
        <f>AP9*Para!$I11</f>
        <v>0</v>
      </c>
      <c r="AQ49" s="8">
        <f>AQ9*Para!$I11</f>
        <v>0</v>
      </c>
      <c r="AR49" s="8">
        <f>AR9*Para!$I11</f>
        <v>0</v>
      </c>
      <c r="AS49" s="8">
        <f>AS9*Para!$I11</f>
        <v>0</v>
      </c>
      <c r="AT49" s="8">
        <f>AT9*Para!$I11</f>
        <v>0</v>
      </c>
      <c r="AU49" s="8">
        <f>AU9*Para!$I11</f>
        <v>0</v>
      </c>
      <c r="AV49" s="8">
        <f>AV9*Para!$I11</f>
        <v>0</v>
      </c>
      <c r="AW49" s="8">
        <f>AW9*Para!$I11</f>
        <v>0</v>
      </c>
      <c r="AX49" s="8">
        <f>AX9*Para!$I11</f>
        <v>0</v>
      </c>
      <c r="AY49" s="8">
        <f>AY9*Para!$I11</f>
        <v>0</v>
      </c>
      <c r="AZ49" s="8">
        <f>AZ9*Para!$I11</f>
        <v>0</v>
      </c>
      <c r="BA49" s="8">
        <f>BA9*Para!$I11</f>
        <v>0</v>
      </c>
      <c r="BB49" s="8">
        <f>BB9*Para!$I11</f>
        <v>0</v>
      </c>
      <c r="BC49" s="8">
        <f>BC9*Para!$I11</f>
        <v>0</v>
      </c>
      <c r="BD49" s="8">
        <f>BD9*Para!$I11</f>
        <v>0</v>
      </c>
      <c r="BE49" s="8">
        <f>BE9*Para!$I11</f>
        <v>0</v>
      </c>
      <c r="BF49" s="8">
        <f>BF9*Para!$I11</f>
        <v>0</v>
      </c>
      <c r="BG49" s="8">
        <f>BG9*Para!$I11</f>
        <v>0</v>
      </c>
      <c r="BH49" s="8">
        <f>BH9*Para!$I11</f>
        <v>0</v>
      </c>
      <c r="BI49" s="8">
        <f>BI9*Para!$I11</f>
        <v>0</v>
      </c>
    </row>
    <row r="50" spans="1:61">
      <c r="A50" s="3" t="str">
        <f t="shared" si="6"/>
        <v>Product 7</v>
      </c>
      <c r="B50" s="8">
        <f>B10*Para!$I12</f>
        <v>0</v>
      </c>
      <c r="C50" s="8">
        <f>C10*Para!$I12</f>
        <v>0</v>
      </c>
      <c r="D50" s="8">
        <f>D10*Para!$I12</f>
        <v>0</v>
      </c>
      <c r="E50" s="8">
        <f>E10*Para!$I12</f>
        <v>0</v>
      </c>
      <c r="F50" s="8">
        <f>F10*Para!$I12</f>
        <v>0</v>
      </c>
      <c r="G50" s="8">
        <f>G10*Para!$I12</f>
        <v>0</v>
      </c>
      <c r="H50" s="8">
        <f>H10*Para!$I12</f>
        <v>0</v>
      </c>
      <c r="I50" s="8">
        <f>I10*Para!$I12</f>
        <v>0</v>
      </c>
      <c r="J50" s="8">
        <f>J10*Para!$I12</f>
        <v>0</v>
      </c>
      <c r="K50" s="8">
        <f>K10*Para!$I12</f>
        <v>0</v>
      </c>
      <c r="L50" s="8">
        <f>L10*Para!$I12</f>
        <v>0</v>
      </c>
      <c r="M50" s="8">
        <f>M10*Para!$I12</f>
        <v>0</v>
      </c>
      <c r="N50" s="8">
        <f>N10*Para!$I12</f>
        <v>0</v>
      </c>
      <c r="O50" s="8">
        <f>O10*Para!$I12</f>
        <v>0</v>
      </c>
      <c r="P50" s="8">
        <f>P10*Para!$I12</f>
        <v>0</v>
      </c>
      <c r="Q50" s="8">
        <f>Q10*Para!$I12</f>
        <v>0</v>
      </c>
      <c r="R50" s="8">
        <f>R10*Para!$I12</f>
        <v>0</v>
      </c>
      <c r="S50" s="8">
        <f>S10*Para!$I12</f>
        <v>0</v>
      </c>
      <c r="T50" s="8">
        <f>T10*Para!$I12</f>
        <v>0</v>
      </c>
      <c r="U50" s="8">
        <f>U10*Para!$I12</f>
        <v>0</v>
      </c>
      <c r="V50" s="8">
        <f>V10*Para!$I12</f>
        <v>0</v>
      </c>
      <c r="W50" s="8">
        <f>W10*Para!$I12</f>
        <v>0</v>
      </c>
      <c r="X50" s="8">
        <f>X10*Para!$I12</f>
        <v>0</v>
      </c>
      <c r="Y50" s="8">
        <f>Y10*Para!$I12</f>
        <v>0</v>
      </c>
      <c r="Z50" s="8">
        <f>Z10*Para!$I12</f>
        <v>0</v>
      </c>
      <c r="AA50" s="8">
        <f>AA10*Para!$I12</f>
        <v>0</v>
      </c>
      <c r="AB50" s="8">
        <f>AB10*Para!$I12</f>
        <v>0</v>
      </c>
      <c r="AC50" s="8">
        <f>AC10*Para!$I12</f>
        <v>0</v>
      </c>
      <c r="AD50" s="8">
        <f>AD10*Para!$I12</f>
        <v>0</v>
      </c>
      <c r="AE50" s="8">
        <f>AE10*Para!$I12</f>
        <v>0</v>
      </c>
      <c r="AF50" s="8">
        <f>AF10*Para!$I12</f>
        <v>0</v>
      </c>
      <c r="AG50" s="8">
        <f>AG10*Para!$I12</f>
        <v>0</v>
      </c>
      <c r="AH50" s="8">
        <f>AH10*Para!$I12</f>
        <v>0</v>
      </c>
      <c r="AI50" s="8">
        <f>AI10*Para!$I12</f>
        <v>0</v>
      </c>
      <c r="AJ50" s="8">
        <f>AJ10*Para!$I12</f>
        <v>0</v>
      </c>
      <c r="AK50" s="8">
        <f>AK10*Para!$I12</f>
        <v>0</v>
      </c>
      <c r="AL50" s="8">
        <f>AL10*Para!$I12</f>
        <v>0</v>
      </c>
      <c r="AM50" s="8">
        <f>AM10*Para!$I12</f>
        <v>0</v>
      </c>
      <c r="AN50" s="8">
        <f>AN10*Para!$I12</f>
        <v>0</v>
      </c>
      <c r="AO50" s="8">
        <f>AO10*Para!$I12</f>
        <v>0</v>
      </c>
      <c r="AP50" s="8">
        <f>AP10*Para!$I12</f>
        <v>0</v>
      </c>
      <c r="AQ50" s="8">
        <f>AQ10*Para!$I12</f>
        <v>0</v>
      </c>
      <c r="AR50" s="8">
        <f>AR10*Para!$I12</f>
        <v>0</v>
      </c>
      <c r="AS50" s="8">
        <f>AS10*Para!$I12</f>
        <v>0</v>
      </c>
      <c r="AT50" s="8">
        <f>AT10*Para!$I12</f>
        <v>0</v>
      </c>
      <c r="AU50" s="8">
        <f>AU10*Para!$I12</f>
        <v>0</v>
      </c>
      <c r="AV50" s="8">
        <f>AV10*Para!$I12</f>
        <v>0</v>
      </c>
      <c r="AW50" s="8">
        <f>AW10*Para!$I12</f>
        <v>0</v>
      </c>
      <c r="AX50" s="8">
        <f>AX10*Para!$I12</f>
        <v>0</v>
      </c>
      <c r="AY50" s="8">
        <f>AY10*Para!$I12</f>
        <v>0</v>
      </c>
      <c r="AZ50" s="8">
        <f>AZ10*Para!$I12</f>
        <v>0</v>
      </c>
      <c r="BA50" s="8">
        <f>BA10*Para!$I12</f>
        <v>0</v>
      </c>
      <c r="BB50" s="8">
        <f>BB10*Para!$I12</f>
        <v>0</v>
      </c>
      <c r="BC50" s="8">
        <f>BC10*Para!$I12</f>
        <v>0</v>
      </c>
      <c r="BD50" s="8">
        <f>BD10*Para!$I12</f>
        <v>0</v>
      </c>
      <c r="BE50" s="8">
        <f>BE10*Para!$I12</f>
        <v>0</v>
      </c>
      <c r="BF50" s="8">
        <f>BF10*Para!$I12</f>
        <v>0</v>
      </c>
      <c r="BG50" s="8">
        <f>BG10*Para!$I12</f>
        <v>0</v>
      </c>
      <c r="BH50" s="8">
        <f>BH10*Para!$I12</f>
        <v>0</v>
      </c>
      <c r="BI50" s="8">
        <f>BI10*Para!$I12</f>
        <v>0</v>
      </c>
    </row>
    <row r="51" spans="1:61">
      <c r="A51" s="3" t="str">
        <f t="shared" si="6"/>
        <v>Product 8</v>
      </c>
      <c r="B51" s="8">
        <f>B11*Para!$I13</f>
        <v>0</v>
      </c>
      <c r="C51" s="8">
        <f>C11*Para!$I13</f>
        <v>0</v>
      </c>
      <c r="D51" s="8">
        <f>D11*Para!$I13</f>
        <v>0</v>
      </c>
      <c r="E51" s="8">
        <f>E11*Para!$I13</f>
        <v>0</v>
      </c>
      <c r="F51" s="8">
        <f>F11*Para!$I13</f>
        <v>0</v>
      </c>
      <c r="G51" s="8">
        <f>G11*Para!$I13</f>
        <v>0</v>
      </c>
      <c r="H51" s="8">
        <f>H11*Para!$I13</f>
        <v>0</v>
      </c>
      <c r="I51" s="8">
        <f>I11*Para!$I13</f>
        <v>0</v>
      </c>
      <c r="J51" s="8">
        <f>J11*Para!$I13</f>
        <v>0</v>
      </c>
      <c r="K51" s="8">
        <f>K11*Para!$I13</f>
        <v>0</v>
      </c>
      <c r="L51" s="8">
        <f>L11*Para!$I13</f>
        <v>0</v>
      </c>
      <c r="M51" s="8">
        <f>M11*Para!$I13</f>
        <v>0</v>
      </c>
      <c r="N51" s="8">
        <f>N11*Para!$I13</f>
        <v>0</v>
      </c>
      <c r="O51" s="8">
        <f>O11*Para!$I13</f>
        <v>0</v>
      </c>
      <c r="P51" s="8">
        <f>P11*Para!$I13</f>
        <v>0</v>
      </c>
      <c r="Q51" s="8">
        <f>Q11*Para!$I13</f>
        <v>0</v>
      </c>
      <c r="R51" s="8">
        <f>R11*Para!$I13</f>
        <v>0</v>
      </c>
      <c r="S51" s="8">
        <f>S11*Para!$I13</f>
        <v>0</v>
      </c>
      <c r="T51" s="8">
        <f>T11*Para!$I13</f>
        <v>0</v>
      </c>
      <c r="U51" s="8">
        <f>U11*Para!$I13</f>
        <v>0</v>
      </c>
      <c r="V51" s="8">
        <f>V11*Para!$I13</f>
        <v>0</v>
      </c>
      <c r="W51" s="8">
        <f>W11*Para!$I13</f>
        <v>0</v>
      </c>
      <c r="X51" s="8">
        <f>X11*Para!$I13</f>
        <v>0</v>
      </c>
      <c r="Y51" s="8">
        <f>Y11*Para!$I13</f>
        <v>0</v>
      </c>
      <c r="Z51" s="8">
        <f>Z11*Para!$I13</f>
        <v>0</v>
      </c>
      <c r="AA51" s="8">
        <f>AA11*Para!$I13</f>
        <v>0</v>
      </c>
      <c r="AB51" s="8">
        <f>AB11*Para!$I13</f>
        <v>0</v>
      </c>
      <c r="AC51" s="8">
        <f>AC11*Para!$I13</f>
        <v>0</v>
      </c>
      <c r="AD51" s="8">
        <f>AD11*Para!$I13</f>
        <v>0</v>
      </c>
      <c r="AE51" s="8">
        <f>AE11*Para!$I13</f>
        <v>0</v>
      </c>
      <c r="AF51" s="8">
        <f>AF11*Para!$I13</f>
        <v>0</v>
      </c>
      <c r="AG51" s="8">
        <f>AG11*Para!$I13</f>
        <v>0</v>
      </c>
      <c r="AH51" s="8">
        <f>AH11*Para!$I13</f>
        <v>0</v>
      </c>
      <c r="AI51" s="8">
        <f>AI11*Para!$I13</f>
        <v>0</v>
      </c>
      <c r="AJ51" s="8">
        <f>AJ11*Para!$I13</f>
        <v>0</v>
      </c>
      <c r="AK51" s="8">
        <f>AK11*Para!$I13</f>
        <v>0</v>
      </c>
      <c r="AL51" s="8">
        <f>AL11*Para!$I13</f>
        <v>0</v>
      </c>
      <c r="AM51" s="8">
        <f>AM11*Para!$I13</f>
        <v>0</v>
      </c>
      <c r="AN51" s="8">
        <f>AN11*Para!$I13</f>
        <v>0</v>
      </c>
      <c r="AO51" s="8">
        <f>AO11*Para!$I13</f>
        <v>0</v>
      </c>
      <c r="AP51" s="8">
        <f>AP11*Para!$I13</f>
        <v>0</v>
      </c>
      <c r="AQ51" s="8">
        <f>AQ11*Para!$I13</f>
        <v>0</v>
      </c>
      <c r="AR51" s="8">
        <f>AR11*Para!$I13</f>
        <v>0</v>
      </c>
      <c r="AS51" s="8">
        <f>AS11*Para!$I13</f>
        <v>0</v>
      </c>
      <c r="AT51" s="8">
        <f>AT11*Para!$I13</f>
        <v>0</v>
      </c>
      <c r="AU51" s="8">
        <f>AU11*Para!$I13</f>
        <v>0</v>
      </c>
      <c r="AV51" s="8">
        <f>AV11*Para!$I13</f>
        <v>0</v>
      </c>
      <c r="AW51" s="8">
        <f>AW11*Para!$I13</f>
        <v>0</v>
      </c>
      <c r="AX51" s="8">
        <f>AX11*Para!$I13</f>
        <v>0</v>
      </c>
      <c r="AY51" s="8">
        <f>AY11*Para!$I13</f>
        <v>0</v>
      </c>
      <c r="AZ51" s="8">
        <f>AZ11*Para!$I13</f>
        <v>0</v>
      </c>
      <c r="BA51" s="8">
        <f>BA11*Para!$I13</f>
        <v>0</v>
      </c>
      <c r="BB51" s="8">
        <f>BB11*Para!$I13</f>
        <v>0</v>
      </c>
      <c r="BC51" s="8">
        <f>BC11*Para!$I13</f>
        <v>0</v>
      </c>
      <c r="BD51" s="8">
        <f>BD11*Para!$I13</f>
        <v>0</v>
      </c>
      <c r="BE51" s="8">
        <f>BE11*Para!$I13</f>
        <v>0</v>
      </c>
      <c r="BF51" s="8">
        <f>BF11*Para!$I13</f>
        <v>0</v>
      </c>
      <c r="BG51" s="8">
        <f>BG11*Para!$I13</f>
        <v>0</v>
      </c>
      <c r="BH51" s="8">
        <f>BH11*Para!$I13</f>
        <v>0</v>
      </c>
      <c r="BI51" s="8">
        <f>BI11*Para!$I13</f>
        <v>0</v>
      </c>
    </row>
    <row r="52" spans="1:61">
      <c r="A52" s="3" t="str">
        <f t="shared" si="6"/>
        <v>Product 9</v>
      </c>
      <c r="B52" s="8">
        <f>B12*Para!$I14</f>
        <v>0</v>
      </c>
      <c r="C52" s="8">
        <f>C12*Para!$I14</f>
        <v>0</v>
      </c>
      <c r="D52" s="8">
        <f>D12*Para!$I14</f>
        <v>0</v>
      </c>
      <c r="E52" s="8">
        <f>E12*Para!$I14</f>
        <v>0</v>
      </c>
      <c r="F52" s="8">
        <f>F12*Para!$I14</f>
        <v>0</v>
      </c>
      <c r="G52" s="8">
        <f>G12*Para!$I14</f>
        <v>0</v>
      </c>
      <c r="H52" s="8">
        <f>H12*Para!$I14</f>
        <v>0</v>
      </c>
      <c r="I52" s="8">
        <f>I12*Para!$I14</f>
        <v>0</v>
      </c>
      <c r="J52" s="8">
        <f>J12*Para!$I14</f>
        <v>0</v>
      </c>
      <c r="K52" s="8">
        <f>K12*Para!$I14</f>
        <v>0</v>
      </c>
      <c r="L52" s="8">
        <f>L12*Para!$I14</f>
        <v>0</v>
      </c>
      <c r="M52" s="8">
        <f>M12*Para!$I14</f>
        <v>0</v>
      </c>
      <c r="N52" s="8">
        <f>N12*Para!$I14</f>
        <v>0</v>
      </c>
      <c r="O52" s="8">
        <f>O12*Para!$I14</f>
        <v>0</v>
      </c>
      <c r="P52" s="8">
        <f>P12*Para!$I14</f>
        <v>0</v>
      </c>
      <c r="Q52" s="8">
        <f>Q12*Para!$I14</f>
        <v>0</v>
      </c>
      <c r="R52" s="8">
        <f>R12*Para!$I14</f>
        <v>0</v>
      </c>
      <c r="S52" s="8">
        <f>S12*Para!$I14</f>
        <v>0</v>
      </c>
      <c r="T52" s="8">
        <f>T12*Para!$I14</f>
        <v>0</v>
      </c>
      <c r="U52" s="8">
        <f>U12*Para!$I14</f>
        <v>0</v>
      </c>
      <c r="V52" s="8">
        <f>V12*Para!$I14</f>
        <v>0</v>
      </c>
      <c r="W52" s="8">
        <f>W12*Para!$I14</f>
        <v>0</v>
      </c>
      <c r="X52" s="8">
        <f>X12*Para!$I14</f>
        <v>0</v>
      </c>
      <c r="Y52" s="8">
        <f>Y12*Para!$I14</f>
        <v>0</v>
      </c>
      <c r="Z52" s="8">
        <f>Z12*Para!$I14</f>
        <v>0</v>
      </c>
      <c r="AA52" s="8">
        <f>AA12*Para!$I14</f>
        <v>0</v>
      </c>
      <c r="AB52" s="8">
        <f>AB12*Para!$I14</f>
        <v>0</v>
      </c>
      <c r="AC52" s="8">
        <f>AC12*Para!$I14</f>
        <v>0</v>
      </c>
      <c r="AD52" s="8">
        <f>AD12*Para!$I14</f>
        <v>0</v>
      </c>
      <c r="AE52" s="8">
        <f>AE12*Para!$I14</f>
        <v>0</v>
      </c>
      <c r="AF52" s="8">
        <f>AF12*Para!$I14</f>
        <v>0</v>
      </c>
      <c r="AG52" s="8">
        <f>AG12*Para!$I14</f>
        <v>0</v>
      </c>
      <c r="AH52" s="8">
        <f>AH12*Para!$I14</f>
        <v>0</v>
      </c>
      <c r="AI52" s="8">
        <f>AI12*Para!$I14</f>
        <v>0</v>
      </c>
      <c r="AJ52" s="8">
        <f>AJ12*Para!$I14</f>
        <v>0</v>
      </c>
      <c r="AK52" s="8">
        <f>AK12*Para!$I14</f>
        <v>0</v>
      </c>
      <c r="AL52" s="8">
        <f>AL12*Para!$I14</f>
        <v>0</v>
      </c>
      <c r="AM52" s="8">
        <f>AM12*Para!$I14</f>
        <v>0</v>
      </c>
      <c r="AN52" s="8">
        <f>AN12*Para!$I14</f>
        <v>0</v>
      </c>
      <c r="AO52" s="8">
        <f>AO12*Para!$I14</f>
        <v>0</v>
      </c>
      <c r="AP52" s="8">
        <f>AP12*Para!$I14</f>
        <v>0</v>
      </c>
      <c r="AQ52" s="8">
        <f>AQ12*Para!$I14</f>
        <v>0</v>
      </c>
      <c r="AR52" s="8">
        <f>AR12*Para!$I14</f>
        <v>0</v>
      </c>
      <c r="AS52" s="8">
        <f>AS12*Para!$I14</f>
        <v>0</v>
      </c>
      <c r="AT52" s="8">
        <f>AT12*Para!$I14</f>
        <v>0</v>
      </c>
      <c r="AU52" s="8">
        <f>AU12*Para!$I14</f>
        <v>0</v>
      </c>
      <c r="AV52" s="8">
        <f>AV12*Para!$I14</f>
        <v>0</v>
      </c>
      <c r="AW52" s="8">
        <f>AW12*Para!$I14</f>
        <v>0</v>
      </c>
      <c r="AX52" s="8">
        <f>AX12*Para!$I14</f>
        <v>0</v>
      </c>
      <c r="AY52" s="8">
        <f>AY12*Para!$I14</f>
        <v>0</v>
      </c>
      <c r="AZ52" s="8">
        <f>AZ12*Para!$I14</f>
        <v>0</v>
      </c>
      <c r="BA52" s="8">
        <f>BA12*Para!$I14</f>
        <v>0</v>
      </c>
      <c r="BB52" s="8">
        <f>BB12*Para!$I14</f>
        <v>0</v>
      </c>
      <c r="BC52" s="8">
        <f>BC12*Para!$I14</f>
        <v>0</v>
      </c>
      <c r="BD52" s="8">
        <f>BD12*Para!$I14</f>
        <v>0</v>
      </c>
      <c r="BE52" s="8">
        <f>BE12*Para!$I14</f>
        <v>0</v>
      </c>
      <c r="BF52" s="8">
        <f>BF12*Para!$I14</f>
        <v>0</v>
      </c>
      <c r="BG52" s="8">
        <f>BG12*Para!$I14</f>
        <v>0</v>
      </c>
      <c r="BH52" s="8">
        <f>BH12*Para!$I14</f>
        <v>0</v>
      </c>
      <c r="BI52" s="8">
        <f>BI12*Para!$I14</f>
        <v>0</v>
      </c>
    </row>
    <row r="53" spans="1:61">
      <c r="A53" s="3" t="str">
        <f t="shared" si="6"/>
        <v>Product 10</v>
      </c>
      <c r="B53" s="8">
        <f>B13*Para!$I15</f>
        <v>0</v>
      </c>
      <c r="C53" s="8">
        <f>C13*Para!$I15</f>
        <v>0</v>
      </c>
      <c r="D53" s="8">
        <f>D13*Para!$I15</f>
        <v>0</v>
      </c>
      <c r="E53" s="8">
        <f>E13*Para!$I15</f>
        <v>0</v>
      </c>
      <c r="F53" s="8">
        <f>F13*Para!$I15</f>
        <v>0</v>
      </c>
      <c r="G53" s="8">
        <f>G13*Para!$I15</f>
        <v>0</v>
      </c>
      <c r="H53" s="8">
        <f>H13*Para!$I15</f>
        <v>0</v>
      </c>
      <c r="I53" s="8">
        <f>I13*Para!$I15</f>
        <v>0</v>
      </c>
      <c r="J53" s="8">
        <f>J13*Para!$I15</f>
        <v>0</v>
      </c>
      <c r="K53" s="8">
        <f>K13*Para!$I15</f>
        <v>0</v>
      </c>
      <c r="L53" s="8">
        <f>L13*Para!$I15</f>
        <v>0</v>
      </c>
      <c r="M53" s="8">
        <f>M13*Para!$I15</f>
        <v>0</v>
      </c>
      <c r="N53" s="8">
        <f>N13*Para!$I15</f>
        <v>0</v>
      </c>
      <c r="O53" s="8">
        <f>O13*Para!$I15</f>
        <v>0</v>
      </c>
      <c r="P53" s="8">
        <f>P13*Para!$I15</f>
        <v>0</v>
      </c>
      <c r="Q53" s="8">
        <f>Q13*Para!$I15</f>
        <v>0</v>
      </c>
      <c r="R53" s="8">
        <f>R13*Para!$I15</f>
        <v>0</v>
      </c>
      <c r="S53" s="8">
        <f>S13*Para!$I15</f>
        <v>0</v>
      </c>
      <c r="T53" s="8">
        <f>T13*Para!$I15</f>
        <v>0</v>
      </c>
      <c r="U53" s="8">
        <f>U13*Para!$I15</f>
        <v>0</v>
      </c>
      <c r="V53" s="8">
        <f>V13*Para!$I15</f>
        <v>0</v>
      </c>
      <c r="W53" s="8">
        <f>W13*Para!$I15</f>
        <v>0</v>
      </c>
      <c r="X53" s="8">
        <f>X13*Para!$I15</f>
        <v>0</v>
      </c>
      <c r="Y53" s="8">
        <f>Y13*Para!$I15</f>
        <v>0</v>
      </c>
      <c r="Z53" s="8">
        <f>Z13*Para!$I15</f>
        <v>0</v>
      </c>
      <c r="AA53" s="8">
        <f>AA13*Para!$I15</f>
        <v>0</v>
      </c>
      <c r="AB53" s="8">
        <f>AB13*Para!$I15</f>
        <v>0</v>
      </c>
      <c r="AC53" s="8">
        <f>AC13*Para!$I15</f>
        <v>0</v>
      </c>
      <c r="AD53" s="8">
        <f>AD13*Para!$I15</f>
        <v>0</v>
      </c>
      <c r="AE53" s="8">
        <f>AE13*Para!$I15</f>
        <v>0</v>
      </c>
      <c r="AF53" s="8">
        <f>AF13*Para!$I15</f>
        <v>0</v>
      </c>
      <c r="AG53" s="8">
        <f>AG13*Para!$I15</f>
        <v>0</v>
      </c>
      <c r="AH53" s="8">
        <f>AH13*Para!$I15</f>
        <v>0</v>
      </c>
      <c r="AI53" s="8">
        <f>AI13*Para!$I15</f>
        <v>0</v>
      </c>
      <c r="AJ53" s="8">
        <f>AJ13*Para!$I15</f>
        <v>0</v>
      </c>
      <c r="AK53" s="8">
        <f>AK13*Para!$I15</f>
        <v>0</v>
      </c>
      <c r="AL53" s="8">
        <f>AL13*Para!$I15</f>
        <v>0</v>
      </c>
      <c r="AM53" s="8">
        <f>AM13*Para!$I15</f>
        <v>0</v>
      </c>
      <c r="AN53" s="8">
        <f>AN13*Para!$I15</f>
        <v>0</v>
      </c>
      <c r="AO53" s="8">
        <f>AO13*Para!$I15</f>
        <v>0</v>
      </c>
      <c r="AP53" s="8">
        <f>AP13*Para!$I15</f>
        <v>0</v>
      </c>
      <c r="AQ53" s="8">
        <f>AQ13*Para!$I15</f>
        <v>0</v>
      </c>
      <c r="AR53" s="8">
        <f>AR13*Para!$I15</f>
        <v>0</v>
      </c>
      <c r="AS53" s="8">
        <f>AS13*Para!$I15</f>
        <v>0</v>
      </c>
      <c r="AT53" s="8">
        <f>AT13*Para!$I15</f>
        <v>0</v>
      </c>
      <c r="AU53" s="8">
        <f>AU13*Para!$I15</f>
        <v>0</v>
      </c>
      <c r="AV53" s="8">
        <f>AV13*Para!$I15</f>
        <v>0</v>
      </c>
      <c r="AW53" s="8">
        <f>AW13*Para!$I15</f>
        <v>0</v>
      </c>
      <c r="AX53" s="8">
        <f>AX13*Para!$I15</f>
        <v>0</v>
      </c>
      <c r="AY53" s="8">
        <f>AY13*Para!$I15</f>
        <v>0</v>
      </c>
      <c r="AZ53" s="8">
        <f>AZ13*Para!$I15</f>
        <v>0</v>
      </c>
      <c r="BA53" s="8">
        <f>BA13*Para!$I15</f>
        <v>0</v>
      </c>
      <c r="BB53" s="8">
        <f>BB13*Para!$I15</f>
        <v>0</v>
      </c>
      <c r="BC53" s="8">
        <f>BC13*Para!$I15</f>
        <v>0</v>
      </c>
      <c r="BD53" s="8">
        <f>BD13*Para!$I15</f>
        <v>0</v>
      </c>
      <c r="BE53" s="8">
        <f>BE13*Para!$I15</f>
        <v>0</v>
      </c>
      <c r="BF53" s="8">
        <f>BF13*Para!$I15</f>
        <v>0</v>
      </c>
      <c r="BG53" s="8">
        <f>BG13*Para!$I15</f>
        <v>0</v>
      </c>
      <c r="BH53" s="8">
        <f>BH13*Para!$I15</f>
        <v>0</v>
      </c>
      <c r="BI53" s="8">
        <f>BI13*Para!$I15</f>
        <v>0</v>
      </c>
    </row>
    <row r="54" spans="1:61" ht="13">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row>
    <row r="55" spans="1:61">
      <c r="A55" s="49" t="s">
        <v>76</v>
      </c>
      <c r="B55" s="8">
        <f>SUM(B44:B53)</f>
        <v>40</v>
      </c>
      <c r="C55" s="8">
        <f t="shared" ref="C55:BI55" si="7">SUM(C44:C53)</f>
        <v>60</v>
      </c>
      <c r="D55" s="8">
        <f t="shared" si="7"/>
        <v>80</v>
      </c>
      <c r="E55" s="8">
        <f t="shared" si="7"/>
        <v>100</v>
      </c>
      <c r="F55" s="8">
        <f t="shared" si="7"/>
        <v>120</v>
      </c>
      <c r="G55" s="8">
        <f t="shared" si="7"/>
        <v>140</v>
      </c>
      <c r="H55" s="8">
        <f t="shared" si="7"/>
        <v>160</v>
      </c>
      <c r="I55" s="8">
        <f t="shared" si="7"/>
        <v>180</v>
      </c>
      <c r="J55" s="8">
        <f t="shared" si="7"/>
        <v>200</v>
      </c>
      <c r="K55" s="8">
        <f t="shared" si="7"/>
        <v>220</v>
      </c>
      <c r="L55" s="8">
        <f t="shared" si="7"/>
        <v>240</v>
      </c>
      <c r="M55" s="8">
        <f t="shared" si="7"/>
        <v>260</v>
      </c>
      <c r="N55" s="8">
        <f t="shared" si="7"/>
        <v>280</v>
      </c>
      <c r="O55" s="8">
        <f t="shared" si="7"/>
        <v>300</v>
      </c>
      <c r="P55" s="8">
        <f t="shared" si="7"/>
        <v>320</v>
      </c>
      <c r="Q55" s="8">
        <f t="shared" si="7"/>
        <v>340</v>
      </c>
      <c r="R55" s="8">
        <f t="shared" si="7"/>
        <v>360</v>
      </c>
      <c r="S55" s="8">
        <f t="shared" si="7"/>
        <v>380</v>
      </c>
      <c r="T55" s="8">
        <f t="shared" si="7"/>
        <v>400</v>
      </c>
      <c r="U55" s="8">
        <f t="shared" si="7"/>
        <v>420</v>
      </c>
      <c r="V55" s="8">
        <f t="shared" si="7"/>
        <v>440</v>
      </c>
      <c r="W55" s="8">
        <f t="shared" si="7"/>
        <v>460</v>
      </c>
      <c r="X55" s="8">
        <f t="shared" si="7"/>
        <v>480</v>
      </c>
      <c r="Y55" s="8">
        <f t="shared" si="7"/>
        <v>500</v>
      </c>
      <c r="Z55" s="8">
        <f t="shared" si="7"/>
        <v>520</v>
      </c>
      <c r="AA55" s="8">
        <f t="shared" si="7"/>
        <v>540</v>
      </c>
      <c r="AB55" s="8">
        <f t="shared" si="7"/>
        <v>560</v>
      </c>
      <c r="AC55" s="8">
        <f t="shared" si="7"/>
        <v>580</v>
      </c>
      <c r="AD55" s="8">
        <f t="shared" si="7"/>
        <v>600</v>
      </c>
      <c r="AE55" s="8">
        <f t="shared" si="7"/>
        <v>620</v>
      </c>
      <c r="AF55" s="8">
        <f t="shared" si="7"/>
        <v>640</v>
      </c>
      <c r="AG55" s="8">
        <f t="shared" si="7"/>
        <v>660</v>
      </c>
      <c r="AH55" s="8">
        <f t="shared" si="7"/>
        <v>680</v>
      </c>
      <c r="AI55" s="8">
        <f t="shared" si="7"/>
        <v>700</v>
      </c>
      <c r="AJ55" s="8">
        <f t="shared" si="7"/>
        <v>720</v>
      </c>
      <c r="AK55" s="8">
        <f t="shared" si="7"/>
        <v>740</v>
      </c>
      <c r="AL55" s="8">
        <f t="shared" si="7"/>
        <v>760</v>
      </c>
      <c r="AM55" s="8">
        <f t="shared" si="7"/>
        <v>780</v>
      </c>
      <c r="AN55" s="8">
        <f t="shared" si="7"/>
        <v>800</v>
      </c>
      <c r="AO55" s="8">
        <f t="shared" si="7"/>
        <v>820</v>
      </c>
      <c r="AP55" s="8">
        <f t="shared" si="7"/>
        <v>840</v>
      </c>
      <c r="AQ55" s="8">
        <f t="shared" si="7"/>
        <v>860</v>
      </c>
      <c r="AR55" s="8">
        <f t="shared" si="7"/>
        <v>880</v>
      </c>
      <c r="AS55" s="8">
        <f t="shared" si="7"/>
        <v>900</v>
      </c>
      <c r="AT55" s="8">
        <f t="shared" si="7"/>
        <v>920</v>
      </c>
      <c r="AU55" s="8">
        <f t="shared" si="7"/>
        <v>940</v>
      </c>
      <c r="AV55" s="8">
        <f t="shared" si="7"/>
        <v>960</v>
      </c>
      <c r="AW55" s="8">
        <f t="shared" si="7"/>
        <v>980</v>
      </c>
      <c r="AX55" s="8">
        <f t="shared" si="7"/>
        <v>1000</v>
      </c>
      <c r="AY55" s="8">
        <f t="shared" si="7"/>
        <v>1020</v>
      </c>
      <c r="AZ55" s="8">
        <f t="shared" si="7"/>
        <v>1040</v>
      </c>
      <c r="BA55" s="8">
        <f t="shared" si="7"/>
        <v>1060</v>
      </c>
      <c r="BB55" s="8">
        <f t="shared" si="7"/>
        <v>1080</v>
      </c>
      <c r="BC55" s="8">
        <f t="shared" si="7"/>
        <v>1100</v>
      </c>
      <c r="BD55" s="8">
        <f t="shared" si="7"/>
        <v>1120</v>
      </c>
      <c r="BE55" s="8">
        <f t="shared" si="7"/>
        <v>1140</v>
      </c>
      <c r="BF55" s="8">
        <f t="shared" si="7"/>
        <v>1160</v>
      </c>
      <c r="BG55" s="8">
        <f t="shared" si="7"/>
        <v>1180</v>
      </c>
      <c r="BH55" s="8">
        <f t="shared" si="7"/>
        <v>1200</v>
      </c>
      <c r="BI55" s="8">
        <f t="shared" si="7"/>
        <v>1220</v>
      </c>
    </row>
    <row r="56" spans="1:61" ht="13">
      <c r="A56" s="4"/>
    </row>
    <row r="57" spans="1:61">
      <c r="A57" s="49" t="s">
        <v>30</v>
      </c>
    </row>
    <row r="58" spans="1:61">
      <c r="A58" s="3" t="str">
        <f>A4</f>
        <v>Product 1</v>
      </c>
      <c r="B58" s="8">
        <f>B4*Para!$J6</f>
        <v>55</v>
      </c>
      <c r="C58" s="8">
        <f>C4*Para!$J6</f>
        <v>82.5</v>
      </c>
      <c r="D58" s="8">
        <f>D4*Para!$J6</f>
        <v>110</v>
      </c>
      <c r="E58" s="8">
        <f>E4*Para!$J6</f>
        <v>137.5</v>
      </c>
      <c r="F58" s="8">
        <f>F4*Para!$J6</f>
        <v>165</v>
      </c>
      <c r="G58" s="8">
        <f>G4*Para!$J6</f>
        <v>192.5</v>
      </c>
      <c r="H58" s="8">
        <f>H4*Para!$J6</f>
        <v>220</v>
      </c>
      <c r="I58" s="8">
        <f>I4*Para!$J6</f>
        <v>247.5</v>
      </c>
      <c r="J58" s="8">
        <f>J4*Para!$J6</f>
        <v>275</v>
      </c>
      <c r="K58" s="8">
        <f>K4*Para!$J6</f>
        <v>302.5</v>
      </c>
      <c r="L58" s="8">
        <f>L4*Para!$J6</f>
        <v>330</v>
      </c>
      <c r="M58" s="8">
        <f>M4*Para!$J6</f>
        <v>357.5</v>
      </c>
      <c r="N58" s="8">
        <f>N4*Para!$J6</f>
        <v>385</v>
      </c>
      <c r="O58" s="8">
        <f>O4*Para!$J6</f>
        <v>412.5</v>
      </c>
      <c r="P58" s="8">
        <f>P4*Para!$J6</f>
        <v>440</v>
      </c>
      <c r="Q58" s="8">
        <f>Q4*Para!$J6</f>
        <v>467.5</v>
      </c>
      <c r="R58" s="8">
        <f>R4*Para!$J6</f>
        <v>495</v>
      </c>
      <c r="S58" s="8">
        <f>S4*Para!$J6</f>
        <v>522.5</v>
      </c>
      <c r="T58" s="8">
        <f>T4*Para!$J6</f>
        <v>550</v>
      </c>
      <c r="U58" s="8">
        <f>U4*Para!$J6</f>
        <v>577.5</v>
      </c>
      <c r="V58" s="8">
        <f>V4*Para!$J6</f>
        <v>605</v>
      </c>
      <c r="W58" s="8">
        <f>W4*Para!$J6</f>
        <v>632.5</v>
      </c>
      <c r="X58" s="8">
        <f>X4*Para!$J6</f>
        <v>660</v>
      </c>
      <c r="Y58" s="8">
        <f>Y4*Para!$J6</f>
        <v>687.5</v>
      </c>
      <c r="Z58" s="8">
        <f>Z4*Para!$J6</f>
        <v>715</v>
      </c>
      <c r="AA58" s="8">
        <f>AA4*Para!$J6</f>
        <v>742.5</v>
      </c>
      <c r="AB58" s="8">
        <f>AB4*Para!$J6</f>
        <v>770</v>
      </c>
      <c r="AC58" s="8">
        <f>AC4*Para!$J6</f>
        <v>797.5</v>
      </c>
      <c r="AD58" s="8">
        <f>AD4*Para!$J6</f>
        <v>825</v>
      </c>
      <c r="AE58" s="8">
        <f>AE4*Para!$J6</f>
        <v>852.5</v>
      </c>
      <c r="AF58" s="8">
        <f>AF4*Para!$J6</f>
        <v>880</v>
      </c>
      <c r="AG58" s="8">
        <f>AG4*Para!$J6</f>
        <v>907.5</v>
      </c>
      <c r="AH58" s="8">
        <f>AH4*Para!$J6</f>
        <v>935</v>
      </c>
      <c r="AI58" s="8">
        <f>AI4*Para!$J6</f>
        <v>962.5</v>
      </c>
      <c r="AJ58" s="8">
        <f>AJ4*Para!$J6</f>
        <v>990</v>
      </c>
      <c r="AK58" s="8">
        <f>AK4*Para!$J6</f>
        <v>1017.5</v>
      </c>
      <c r="AL58" s="8">
        <f>AL4*Para!$J6</f>
        <v>1045</v>
      </c>
      <c r="AM58" s="8">
        <f>AM4*Para!$J6</f>
        <v>1072.5</v>
      </c>
      <c r="AN58" s="8">
        <f>AN4*Para!$J6</f>
        <v>1100</v>
      </c>
      <c r="AO58" s="8">
        <f>AO4*Para!$J6</f>
        <v>1127.5</v>
      </c>
      <c r="AP58" s="8">
        <f>AP4*Para!$J6</f>
        <v>1155</v>
      </c>
      <c r="AQ58" s="8">
        <f>AQ4*Para!$J6</f>
        <v>1182.5</v>
      </c>
      <c r="AR58" s="8">
        <f>AR4*Para!$J6</f>
        <v>1210</v>
      </c>
      <c r="AS58" s="8">
        <f>AS4*Para!$J6</f>
        <v>1237.5</v>
      </c>
      <c r="AT58" s="8">
        <f>AT4*Para!$J6</f>
        <v>1265</v>
      </c>
      <c r="AU58" s="8">
        <f>AU4*Para!$J6</f>
        <v>1292.5</v>
      </c>
      <c r="AV58" s="8">
        <f>AV4*Para!$J6</f>
        <v>1320</v>
      </c>
      <c r="AW58" s="8">
        <f>AW4*Para!$J6</f>
        <v>1347.5</v>
      </c>
      <c r="AX58" s="8">
        <f>AX4*Para!$J6</f>
        <v>1375</v>
      </c>
      <c r="AY58" s="8">
        <f>AY4*Para!$J6</f>
        <v>1402.5</v>
      </c>
      <c r="AZ58" s="8">
        <f>AZ4*Para!$J6</f>
        <v>1430</v>
      </c>
      <c r="BA58" s="8">
        <f>BA4*Para!$J6</f>
        <v>1457.5</v>
      </c>
      <c r="BB58" s="8">
        <f>BB4*Para!$J6</f>
        <v>1485</v>
      </c>
      <c r="BC58" s="8">
        <f>BC4*Para!$J6</f>
        <v>1512.5</v>
      </c>
      <c r="BD58" s="8">
        <f>BD4*Para!$J6</f>
        <v>1540</v>
      </c>
      <c r="BE58" s="8">
        <f>BE4*Para!$J6</f>
        <v>1567.5</v>
      </c>
      <c r="BF58" s="8">
        <f>BF4*Para!$J6</f>
        <v>1595</v>
      </c>
      <c r="BG58" s="8">
        <f>BG4*Para!$J6</f>
        <v>1622.5</v>
      </c>
      <c r="BH58" s="8">
        <f>BH4*Para!$J6</f>
        <v>1650</v>
      </c>
      <c r="BI58" s="8">
        <f>BI4*Para!$J6</f>
        <v>1677.5</v>
      </c>
    </row>
    <row r="59" spans="1:61">
      <c r="A59" s="3" t="str">
        <f t="shared" ref="A59:A67" si="8">A5</f>
        <v>Product 2</v>
      </c>
      <c r="B59" s="8">
        <f>B5*Para!$J7</f>
        <v>0</v>
      </c>
      <c r="C59" s="8">
        <f>C5*Para!$J7</f>
        <v>0</v>
      </c>
      <c r="D59" s="8">
        <f>D5*Para!$J7</f>
        <v>0</v>
      </c>
      <c r="E59" s="8">
        <f>E5*Para!$J7</f>
        <v>0</v>
      </c>
      <c r="F59" s="8">
        <f>F5*Para!$J7</f>
        <v>0</v>
      </c>
      <c r="G59" s="8">
        <f>G5*Para!$J7</f>
        <v>0</v>
      </c>
      <c r="H59" s="8">
        <f>H5*Para!$J7</f>
        <v>0</v>
      </c>
      <c r="I59" s="8">
        <f>I5*Para!$J7</f>
        <v>0</v>
      </c>
      <c r="J59" s="8">
        <f>J5*Para!$J7</f>
        <v>0</v>
      </c>
      <c r="K59" s="8">
        <f>K5*Para!$J7</f>
        <v>0</v>
      </c>
      <c r="L59" s="8">
        <f>L5*Para!$J7</f>
        <v>0</v>
      </c>
      <c r="M59" s="8">
        <f>M5*Para!$J7</f>
        <v>0</v>
      </c>
      <c r="N59" s="8">
        <f>N5*Para!$J7</f>
        <v>0</v>
      </c>
      <c r="O59" s="8">
        <f>O5*Para!$J7</f>
        <v>0</v>
      </c>
      <c r="P59" s="8">
        <f>P5*Para!$J7</f>
        <v>0</v>
      </c>
      <c r="Q59" s="8">
        <f>Q5*Para!$J7</f>
        <v>0</v>
      </c>
      <c r="R59" s="8">
        <f>R5*Para!$J7</f>
        <v>0</v>
      </c>
      <c r="S59" s="8">
        <f>S5*Para!$J7</f>
        <v>0</v>
      </c>
      <c r="T59" s="8">
        <f>T5*Para!$J7</f>
        <v>0</v>
      </c>
      <c r="U59" s="8">
        <f>U5*Para!$J7</f>
        <v>0</v>
      </c>
      <c r="V59" s="8">
        <f>V5*Para!$J7</f>
        <v>0</v>
      </c>
      <c r="W59" s="8">
        <f>W5*Para!$J7</f>
        <v>0</v>
      </c>
      <c r="X59" s="8">
        <f>X5*Para!$J7</f>
        <v>0</v>
      </c>
      <c r="Y59" s="8">
        <f>Y5*Para!$J7</f>
        <v>0</v>
      </c>
      <c r="Z59" s="8">
        <f>Z5*Para!$J7</f>
        <v>0</v>
      </c>
      <c r="AA59" s="8">
        <f>AA5*Para!$J7</f>
        <v>0</v>
      </c>
      <c r="AB59" s="8">
        <f>AB5*Para!$J7</f>
        <v>0</v>
      </c>
      <c r="AC59" s="8">
        <f>AC5*Para!$J7</f>
        <v>0</v>
      </c>
      <c r="AD59" s="8">
        <f>AD5*Para!$J7</f>
        <v>0</v>
      </c>
      <c r="AE59" s="8">
        <f>AE5*Para!$J7</f>
        <v>0</v>
      </c>
      <c r="AF59" s="8">
        <f>AF5*Para!$J7</f>
        <v>0</v>
      </c>
      <c r="AG59" s="8">
        <f>AG5*Para!$J7</f>
        <v>0</v>
      </c>
      <c r="AH59" s="8">
        <f>AH5*Para!$J7</f>
        <v>0</v>
      </c>
      <c r="AI59" s="8">
        <f>AI5*Para!$J7</f>
        <v>0</v>
      </c>
      <c r="AJ59" s="8">
        <f>AJ5*Para!$J7</f>
        <v>0</v>
      </c>
      <c r="AK59" s="8">
        <f>AK5*Para!$J7</f>
        <v>0</v>
      </c>
      <c r="AL59" s="8">
        <f>AL5*Para!$J7</f>
        <v>0</v>
      </c>
      <c r="AM59" s="8">
        <f>AM5*Para!$J7</f>
        <v>0</v>
      </c>
      <c r="AN59" s="8">
        <f>AN5*Para!$J7</f>
        <v>0</v>
      </c>
      <c r="AO59" s="8">
        <f>AO5*Para!$J7</f>
        <v>0</v>
      </c>
      <c r="AP59" s="8">
        <f>AP5*Para!$J7</f>
        <v>0</v>
      </c>
      <c r="AQ59" s="8">
        <f>AQ5*Para!$J7</f>
        <v>0</v>
      </c>
      <c r="AR59" s="8">
        <f>AR5*Para!$J7</f>
        <v>0</v>
      </c>
      <c r="AS59" s="8">
        <f>AS5*Para!$J7</f>
        <v>0</v>
      </c>
      <c r="AT59" s="8">
        <f>AT5*Para!$J7</f>
        <v>0</v>
      </c>
      <c r="AU59" s="8">
        <f>AU5*Para!$J7</f>
        <v>0</v>
      </c>
      <c r="AV59" s="8">
        <f>AV5*Para!$J7</f>
        <v>0</v>
      </c>
      <c r="AW59" s="8">
        <f>AW5*Para!$J7</f>
        <v>0</v>
      </c>
      <c r="AX59" s="8">
        <f>AX5*Para!$J7</f>
        <v>0</v>
      </c>
      <c r="AY59" s="8">
        <f>AY5*Para!$J7</f>
        <v>0</v>
      </c>
      <c r="AZ59" s="8">
        <f>AZ5*Para!$J7</f>
        <v>0</v>
      </c>
      <c r="BA59" s="8">
        <f>BA5*Para!$J7</f>
        <v>0</v>
      </c>
      <c r="BB59" s="8">
        <f>BB5*Para!$J7</f>
        <v>0</v>
      </c>
      <c r="BC59" s="8">
        <f>BC5*Para!$J7</f>
        <v>0</v>
      </c>
      <c r="BD59" s="8">
        <f>BD5*Para!$J7</f>
        <v>0</v>
      </c>
      <c r="BE59" s="8">
        <f>BE5*Para!$J7</f>
        <v>0</v>
      </c>
      <c r="BF59" s="8">
        <f>BF5*Para!$J7</f>
        <v>0</v>
      </c>
      <c r="BG59" s="8">
        <f>BG5*Para!$J7</f>
        <v>0</v>
      </c>
      <c r="BH59" s="8">
        <f>BH5*Para!$J7</f>
        <v>0</v>
      </c>
      <c r="BI59" s="8">
        <f>BI5*Para!$J7</f>
        <v>0</v>
      </c>
    </row>
    <row r="60" spans="1:61">
      <c r="A60" s="3" t="str">
        <f t="shared" si="8"/>
        <v>Product 3</v>
      </c>
      <c r="B60" s="8">
        <f>B6*Para!$J8</f>
        <v>0</v>
      </c>
      <c r="C60" s="8">
        <f>C6*Para!$J8</f>
        <v>0</v>
      </c>
      <c r="D60" s="8">
        <f>D6*Para!$J8</f>
        <v>0</v>
      </c>
      <c r="E60" s="8">
        <f>E6*Para!$J8</f>
        <v>0</v>
      </c>
      <c r="F60" s="8">
        <f>F6*Para!$J8</f>
        <v>0</v>
      </c>
      <c r="G60" s="8">
        <f>G6*Para!$J8</f>
        <v>0</v>
      </c>
      <c r="H60" s="8">
        <f>H6*Para!$J8</f>
        <v>0</v>
      </c>
      <c r="I60" s="8">
        <f>I6*Para!$J8</f>
        <v>0</v>
      </c>
      <c r="J60" s="8">
        <f>J6*Para!$J8</f>
        <v>0</v>
      </c>
      <c r="K60" s="8">
        <f>K6*Para!$J8</f>
        <v>0</v>
      </c>
      <c r="L60" s="8">
        <f>L6*Para!$J8</f>
        <v>0</v>
      </c>
      <c r="M60" s="8">
        <f>M6*Para!$J8</f>
        <v>0</v>
      </c>
      <c r="N60" s="8">
        <f>N6*Para!$J8</f>
        <v>0</v>
      </c>
      <c r="O60" s="8">
        <f>O6*Para!$J8</f>
        <v>0</v>
      </c>
      <c r="P60" s="8">
        <f>P6*Para!$J8</f>
        <v>0</v>
      </c>
      <c r="Q60" s="8">
        <f>Q6*Para!$J8</f>
        <v>0</v>
      </c>
      <c r="R60" s="8">
        <f>R6*Para!$J8</f>
        <v>0</v>
      </c>
      <c r="S60" s="8">
        <f>S6*Para!$J8</f>
        <v>0</v>
      </c>
      <c r="T60" s="8">
        <f>T6*Para!$J8</f>
        <v>0</v>
      </c>
      <c r="U60" s="8">
        <f>U6*Para!$J8</f>
        <v>0</v>
      </c>
      <c r="V60" s="8">
        <f>V6*Para!$J8</f>
        <v>0</v>
      </c>
      <c r="W60" s="8">
        <f>W6*Para!$J8</f>
        <v>0</v>
      </c>
      <c r="X60" s="8">
        <f>X6*Para!$J8</f>
        <v>0</v>
      </c>
      <c r="Y60" s="8">
        <f>Y6*Para!$J8</f>
        <v>0</v>
      </c>
      <c r="Z60" s="8">
        <f>Z6*Para!$J8</f>
        <v>0</v>
      </c>
      <c r="AA60" s="8">
        <f>AA6*Para!$J8</f>
        <v>0</v>
      </c>
      <c r="AB60" s="8">
        <f>AB6*Para!$J8</f>
        <v>0</v>
      </c>
      <c r="AC60" s="8">
        <f>AC6*Para!$J8</f>
        <v>0</v>
      </c>
      <c r="AD60" s="8">
        <f>AD6*Para!$J8</f>
        <v>0</v>
      </c>
      <c r="AE60" s="8">
        <f>AE6*Para!$J8</f>
        <v>0</v>
      </c>
      <c r="AF60" s="8">
        <f>AF6*Para!$J8</f>
        <v>0</v>
      </c>
      <c r="AG60" s="8">
        <f>AG6*Para!$J8</f>
        <v>0</v>
      </c>
      <c r="AH60" s="8">
        <f>AH6*Para!$J8</f>
        <v>0</v>
      </c>
      <c r="AI60" s="8">
        <f>AI6*Para!$J8</f>
        <v>0</v>
      </c>
      <c r="AJ60" s="8">
        <f>AJ6*Para!$J8</f>
        <v>0</v>
      </c>
      <c r="AK60" s="8">
        <f>AK6*Para!$J8</f>
        <v>0</v>
      </c>
      <c r="AL60" s="8">
        <f>AL6*Para!$J8</f>
        <v>0</v>
      </c>
      <c r="AM60" s="8">
        <f>AM6*Para!$J8</f>
        <v>0</v>
      </c>
      <c r="AN60" s="8">
        <f>AN6*Para!$J8</f>
        <v>0</v>
      </c>
      <c r="AO60" s="8">
        <f>AO6*Para!$J8</f>
        <v>0</v>
      </c>
      <c r="AP60" s="8">
        <f>AP6*Para!$J8</f>
        <v>0</v>
      </c>
      <c r="AQ60" s="8">
        <f>AQ6*Para!$J8</f>
        <v>0</v>
      </c>
      <c r="AR60" s="8">
        <f>AR6*Para!$J8</f>
        <v>0</v>
      </c>
      <c r="AS60" s="8">
        <f>AS6*Para!$J8</f>
        <v>0</v>
      </c>
      <c r="AT60" s="8">
        <f>AT6*Para!$J8</f>
        <v>0</v>
      </c>
      <c r="AU60" s="8">
        <f>AU6*Para!$J8</f>
        <v>0</v>
      </c>
      <c r="AV60" s="8">
        <f>AV6*Para!$J8</f>
        <v>0</v>
      </c>
      <c r="AW60" s="8">
        <f>AW6*Para!$J8</f>
        <v>0</v>
      </c>
      <c r="AX60" s="8">
        <f>AX6*Para!$J8</f>
        <v>0</v>
      </c>
      <c r="AY60" s="8">
        <f>AY6*Para!$J8</f>
        <v>0</v>
      </c>
      <c r="AZ60" s="8">
        <f>AZ6*Para!$J8</f>
        <v>0</v>
      </c>
      <c r="BA60" s="8">
        <f>BA6*Para!$J8</f>
        <v>0</v>
      </c>
      <c r="BB60" s="8">
        <f>BB6*Para!$J8</f>
        <v>0</v>
      </c>
      <c r="BC60" s="8">
        <f>BC6*Para!$J8</f>
        <v>0</v>
      </c>
      <c r="BD60" s="8">
        <f>BD6*Para!$J8</f>
        <v>0</v>
      </c>
      <c r="BE60" s="8">
        <f>BE6*Para!$J8</f>
        <v>0</v>
      </c>
      <c r="BF60" s="8">
        <f>BF6*Para!$J8</f>
        <v>0</v>
      </c>
      <c r="BG60" s="8">
        <f>BG6*Para!$J8</f>
        <v>0</v>
      </c>
      <c r="BH60" s="8">
        <f>BH6*Para!$J8</f>
        <v>0</v>
      </c>
      <c r="BI60" s="8">
        <f>BI6*Para!$J8</f>
        <v>0</v>
      </c>
    </row>
    <row r="61" spans="1:61">
      <c r="A61" s="3" t="str">
        <f t="shared" si="8"/>
        <v>Product 4</v>
      </c>
      <c r="B61" s="8">
        <f>B7*Para!$J9</f>
        <v>0</v>
      </c>
      <c r="C61" s="8">
        <f>C7*Para!$J9</f>
        <v>0</v>
      </c>
      <c r="D61" s="8">
        <f>D7*Para!$J9</f>
        <v>0</v>
      </c>
      <c r="E61" s="8">
        <f>E7*Para!$J9</f>
        <v>0</v>
      </c>
      <c r="F61" s="8">
        <f>F7*Para!$J9</f>
        <v>0</v>
      </c>
      <c r="G61" s="8">
        <f>G7*Para!$J9</f>
        <v>0</v>
      </c>
      <c r="H61" s="8">
        <f>H7*Para!$J9</f>
        <v>0</v>
      </c>
      <c r="I61" s="8">
        <f>I7*Para!$J9</f>
        <v>0</v>
      </c>
      <c r="J61" s="8">
        <f>J7*Para!$J9</f>
        <v>0</v>
      </c>
      <c r="K61" s="8">
        <f>K7*Para!$J9</f>
        <v>0</v>
      </c>
      <c r="L61" s="8">
        <f>L7*Para!$J9</f>
        <v>0</v>
      </c>
      <c r="M61" s="8">
        <f>M7*Para!$J9</f>
        <v>0</v>
      </c>
      <c r="N61" s="8">
        <f>N7*Para!$J9</f>
        <v>0</v>
      </c>
      <c r="O61" s="8">
        <f>O7*Para!$J9</f>
        <v>0</v>
      </c>
      <c r="P61" s="8">
        <f>P7*Para!$J9</f>
        <v>0</v>
      </c>
      <c r="Q61" s="8">
        <f>Q7*Para!$J9</f>
        <v>0</v>
      </c>
      <c r="R61" s="8">
        <f>R7*Para!$J9</f>
        <v>0</v>
      </c>
      <c r="S61" s="8">
        <f>S7*Para!$J9</f>
        <v>0</v>
      </c>
      <c r="T61" s="8">
        <f>T7*Para!$J9</f>
        <v>0</v>
      </c>
      <c r="U61" s="8">
        <f>U7*Para!$J9</f>
        <v>0</v>
      </c>
      <c r="V61" s="8">
        <f>V7*Para!$J9</f>
        <v>0</v>
      </c>
      <c r="W61" s="8">
        <f>W7*Para!$J9</f>
        <v>0</v>
      </c>
      <c r="X61" s="8">
        <f>X7*Para!$J9</f>
        <v>0</v>
      </c>
      <c r="Y61" s="8">
        <f>Y7*Para!$J9</f>
        <v>0</v>
      </c>
      <c r="Z61" s="8">
        <f>Z7*Para!$J9</f>
        <v>0</v>
      </c>
      <c r="AA61" s="8">
        <f>AA7*Para!$J9</f>
        <v>0</v>
      </c>
      <c r="AB61" s="8">
        <f>AB7*Para!$J9</f>
        <v>0</v>
      </c>
      <c r="AC61" s="8">
        <f>AC7*Para!$J9</f>
        <v>0</v>
      </c>
      <c r="AD61" s="8">
        <f>AD7*Para!$J9</f>
        <v>0</v>
      </c>
      <c r="AE61" s="8">
        <f>AE7*Para!$J9</f>
        <v>0</v>
      </c>
      <c r="AF61" s="8">
        <f>AF7*Para!$J9</f>
        <v>0</v>
      </c>
      <c r="AG61" s="8">
        <f>AG7*Para!$J9</f>
        <v>0</v>
      </c>
      <c r="AH61" s="8">
        <f>AH7*Para!$J9</f>
        <v>0</v>
      </c>
      <c r="AI61" s="8">
        <f>AI7*Para!$J9</f>
        <v>0</v>
      </c>
      <c r="AJ61" s="8">
        <f>AJ7*Para!$J9</f>
        <v>0</v>
      </c>
      <c r="AK61" s="8">
        <f>AK7*Para!$J9</f>
        <v>0</v>
      </c>
      <c r="AL61" s="8">
        <f>AL7*Para!$J9</f>
        <v>0</v>
      </c>
      <c r="AM61" s="8">
        <f>AM7*Para!$J9</f>
        <v>0</v>
      </c>
      <c r="AN61" s="8">
        <f>AN7*Para!$J9</f>
        <v>0</v>
      </c>
      <c r="AO61" s="8">
        <f>AO7*Para!$J9</f>
        <v>0</v>
      </c>
      <c r="AP61" s="8">
        <f>AP7*Para!$J9</f>
        <v>0</v>
      </c>
      <c r="AQ61" s="8">
        <f>AQ7*Para!$J9</f>
        <v>0</v>
      </c>
      <c r="AR61" s="8">
        <f>AR7*Para!$J9</f>
        <v>0</v>
      </c>
      <c r="AS61" s="8">
        <f>AS7*Para!$J9</f>
        <v>0</v>
      </c>
      <c r="AT61" s="8">
        <f>AT7*Para!$J9</f>
        <v>0</v>
      </c>
      <c r="AU61" s="8">
        <f>AU7*Para!$J9</f>
        <v>0</v>
      </c>
      <c r="AV61" s="8">
        <f>AV7*Para!$J9</f>
        <v>0</v>
      </c>
      <c r="AW61" s="8">
        <f>AW7*Para!$J9</f>
        <v>0</v>
      </c>
      <c r="AX61" s="8">
        <f>AX7*Para!$J9</f>
        <v>0</v>
      </c>
      <c r="AY61" s="8">
        <f>AY7*Para!$J9</f>
        <v>0</v>
      </c>
      <c r="AZ61" s="8">
        <f>AZ7*Para!$J9</f>
        <v>0</v>
      </c>
      <c r="BA61" s="8">
        <f>BA7*Para!$J9</f>
        <v>0</v>
      </c>
      <c r="BB61" s="8">
        <f>BB7*Para!$J9</f>
        <v>0</v>
      </c>
      <c r="BC61" s="8">
        <f>BC7*Para!$J9</f>
        <v>0</v>
      </c>
      <c r="BD61" s="8">
        <f>BD7*Para!$J9</f>
        <v>0</v>
      </c>
      <c r="BE61" s="8">
        <f>BE7*Para!$J9</f>
        <v>0</v>
      </c>
      <c r="BF61" s="8">
        <f>BF7*Para!$J9</f>
        <v>0</v>
      </c>
      <c r="BG61" s="8">
        <f>BG7*Para!$J9</f>
        <v>0</v>
      </c>
      <c r="BH61" s="8">
        <f>BH7*Para!$J9</f>
        <v>0</v>
      </c>
      <c r="BI61" s="8">
        <f>BI7*Para!$J9</f>
        <v>0</v>
      </c>
    </row>
    <row r="62" spans="1:61">
      <c r="A62" s="3" t="str">
        <f t="shared" si="8"/>
        <v>Product 5</v>
      </c>
      <c r="B62" s="8">
        <f>B8*Para!$J10</f>
        <v>0</v>
      </c>
      <c r="C62" s="8">
        <f>C8*Para!$J10</f>
        <v>0</v>
      </c>
      <c r="D62" s="8">
        <f>D8*Para!$J10</f>
        <v>0</v>
      </c>
      <c r="E62" s="8">
        <f>E8*Para!$J10</f>
        <v>0</v>
      </c>
      <c r="F62" s="8">
        <f>F8*Para!$J10</f>
        <v>0</v>
      </c>
      <c r="G62" s="8">
        <f>G8*Para!$J10</f>
        <v>0</v>
      </c>
      <c r="H62" s="8">
        <f>H8*Para!$J10</f>
        <v>0</v>
      </c>
      <c r="I62" s="8">
        <f>I8*Para!$J10</f>
        <v>0</v>
      </c>
      <c r="J62" s="8">
        <f>J8*Para!$J10</f>
        <v>0</v>
      </c>
      <c r="K62" s="8">
        <f>K8*Para!$J10</f>
        <v>0</v>
      </c>
      <c r="L62" s="8">
        <f>L8*Para!$J10</f>
        <v>0</v>
      </c>
      <c r="M62" s="8">
        <f>M8*Para!$J10</f>
        <v>0</v>
      </c>
      <c r="N62" s="8">
        <f>N8*Para!$J10</f>
        <v>0</v>
      </c>
      <c r="O62" s="8">
        <f>O8*Para!$J10</f>
        <v>0</v>
      </c>
      <c r="P62" s="8">
        <f>P8*Para!$J10</f>
        <v>0</v>
      </c>
      <c r="Q62" s="8">
        <f>Q8*Para!$J10</f>
        <v>0</v>
      </c>
      <c r="R62" s="8">
        <f>R8*Para!$J10</f>
        <v>0</v>
      </c>
      <c r="S62" s="8">
        <f>S8*Para!$J10</f>
        <v>0</v>
      </c>
      <c r="T62" s="8">
        <f>T8*Para!$J10</f>
        <v>0</v>
      </c>
      <c r="U62" s="8">
        <f>U8*Para!$J10</f>
        <v>0</v>
      </c>
      <c r="V62" s="8">
        <f>V8*Para!$J10</f>
        <v>0</v>
      </c>
      <c r="W62" s="8">
        <f>W8*Para!$J10</f>
        <v>0</v>
      </c>
      <c r="X62" s="8">
        <f>X8*Para!$J10</f>
        <v>0</v>
      </c>
      <c r="Y62" s="8">
        <f>Y8*Para!$J10</f>
        <v>0</v>
      </c>
      <c r="Z62" s="8">
        <f>Z8*Para!$J10</f>
        <v>0</v>
      </c>
      <c r="AA62" s="8">
        <f>AA8*Para!$J10</f>
        <v>0</v>
      </c>
      <c r="AB62" s="8">
        <f>AB8*Para!$J10</f>
        <v>0</v>
      </c>
      <c r="AC62" s="8">
        <f>AC8*Para!$J10</f>
        <v>0</v>
      </c>
      <c r="AD62" s="8">
        <f>AD8*Para!$J10</f>
        <v>0</v>
      </c>
      <c r="AE62" s="8">
        <f>AE8*Para!$J10</f>
        <v>0</v>
      </c>
      <c r="AF62" s="8">
        <f>AF8*Para!$J10</f>
        <v>0</v>
      </c>
      <c r="AG62" s="8">
        <f>AG8*Para!$J10</f>
        <v>0</v>
      </c>
      <c r="AH62" s="8">
        <f>AH8*Para!$J10</f>
        <v>0</v>
      </c>
      <c r="AI62" s="8">
        <f>AI8*Para!$J10</f>
        <v>0</v>
      </c>
      <c r="AJ62" s="8">
        <f>AJ8*Para!$J10</f>
        <v>0</v>
      </c>
      <c r="AK62" s="8">
        <f>AK8*Para!$J10</f>
        <v>0</v>
      </c>
      <c r="AL62" s="8">
        <f>AL8*Para!$J10</f>
        <v>0</v>
      </c>
      <c r="AM62" s="8">
        <f>AM8*Para!$J10</f>
        <v>0</v>
      </c>
      <c r="AN62" s="8">
        <f>AN8*Para!$J10</f>
        <v>0</v>
      </c>
      <c r="AO62" s="8">
        <f>AO8*Para!$J10</f>
        <v>0</v>
      </c>
      <c r="AP62" s="8">
        <f>AP8*Para!$J10</f>
        <v>0</v>
      </c>
      <c r="AQ62" s="8">
        <f>AQ8*Para!$J10</f>
        <v>0</v>
      </c>
      <c r="AR62" s="8">
        <f>AR8*Para!$J10</f>
        <v>0</v>
      </c>
      <c r="AS62" s="8">
        <f>AS8*Para!$J10</f>
        <v>0</v>
      </c>
      <c r="AT62" s="8">
        <f>AT8*Para!$J10</f>
        <v>0</v>
      </c>
      <c r="AU62" s="8">
        <f>AU8*Para!$J10</f>
        <v>0</v>
      </c>
      <c r="AV62" s="8">
        <f>AV8*Para!$J10</f>
        <v>0</v>
      </c>
      <c r="AW62" s="8">
        <f>AW8*Para!$J10</f>
        <v>0</v>
      </c>
      <c r="AX62" s="8">
        <f>AX8*Para!$J10</f>
        <v>0</v>
      </c>
      <c r="AY62" s="8">
        <f>AY8*Para!$J10</f>
        <v>0</v>
      </c>
      <c r="AZ62" s="8">
        <f>AZ8*Para!$J10</f>
        <v>0</v>
      </c>
      <c r="BA62" s="8">
        <f>BA8*Para!$J10</f>
        <v>0</v>
      </c>
      <c r="BB62" s="8">
        <f>BB8*Para!$J10</f>
        <v>0</v>
      </c>
      <c r="BC62" s="8">
        <f>BC8*Para!$J10</f>
        <v>0</v>
      </c>
      <c r="BD62" s="8">
        <f>BD8*Para!$J10</f>
        <v>0</v>
      </c>
      <c r="BE62" s="8">
        <f>BE8*Para!$J10</f>
        <v>0</v>
      </c>
      <c r="BF62" s="8">
        <f>BF8*Para!$J10</f>
        <v>0</v>
      </c>
      <c r="BG62" s="8">
        <f>BG8*Para!$J10</f>
        <v>0</v>
      </c>
      <c r="BH62" s="8">
        <f>BH8*Para!$J10</f>
        <v>0</v>
      </c>
      <c r="BI62" s="8">
        <f>BI8*Para!$J10</f>
        <v>0</v>
      </c>
    </row>
    <row r="63" spans="1:61">
      <c r="A63" s="3" t="str">
        <f t="shared" si="8"/>
        <v>Product 6</v>
      </c>
      <c r="B63" s="8">
        <f>B9*Para!$J11</f>
        <v>0</v>
      </c>
      <c r="C63" s="8">
        <f>C9*Para!$J11</f>
        <v>0</v>
      </c>
      <c r="D63" s="8">
        <f>D9*Para!$J11</f>
        <v>0</v>
      </c>
      <c r="E63" s="8">
        <f>E9*Para!$J11</f>
        <v>0</v>
      </c>
      <c r="F63" s="8">
        <f>F9*Para!$J11</f>
        <v>0</v>
      </c>
      <c r="G63" s="8">
        <f>G9*Para!$J11</f>
        <v>0</v>
      </c>
      <c r="H63" s="8">
        <f>H9*Para!$J11</f>
        <v>0</v>
      </c>
      <c r="I63" s="8">
        <f>I9*Para!$J11</f>
        <v>0</v>
      </c>
      <c r="J63" s="8">
        <f>J9*Para!$J11</f>
        <v>0</v>
      </c>
      <c r="K63" s="8">
        <f>K9*Para!$J11</f>
        <v>0</v>
      </c>
      <c r="L63" s="8">
        <f>L9*Para!$J11</f>
        <v>0</v>
      </c>
      <c r="M63" s="8">
        <f>M9*Para!$J11</f>
        <v>0</v>
      </c>
      <c r="N63" s="8">
        <f>N9*Para!$J11</f>
        <v>0</v>
      </c>
      <c r="O63" s="8">
        <f>O9*Para!$J11</f>
        <v>0</v>
      </c>
      <c r="P63" s="8">
        <f>P9*Para!$J11</f>
        <v>0</v>
      </c>
      <c r="Q63" s="8">
        <f>Q9*Para!$J11</f>
        <v>0</v>
      </c>
      <c r="R63" s="8">
        <f>R9*Para!$J11</f>
        <v>0</v>
      </c>
      <c r="S63" s="8">
        <f>S9*Para!$J11</f>
        <v>0</v>
      </c>
      <c r="T63" s="8">
        <f>T9*Para!$J11</f>
        <v>0</v>
      </c>
      <c r="U63" s="8">
        <f>U9*Para!$J11</f>
        <v>0</v>
      </c>
      <c r="V63" s="8">
        <f>V9*Para!$J11</f>
        <v>0</v>
      </c>
      <c r="W63" s="8">
        <f>W9*Para!$J11</f>
        <v>0</v>
      </c>
      <c r="X63" s="8">
        <f>X9*Para!$J11</f>
        <v>0</v>
      </c>
      <c r="Y63" s="8">
        <f>Y9*Para!$J11</f>
        <v>0</v>
      </c>
      <c r="Z63" s="8">
        <f>Z9*Para!$J11</f>
        <v>0</v>
      </c>
      <c r="AA63" s="8">
        <f>AA9*Para!$J11</f>
        <v>0</v>
      </c>
      <c r="AB63" s="8">
        <f>AB9*Para!$J11</f>
        <v>0</v>
      </c>
      <c r="AC63" s="8">
        <f>AC9*Para!$J11</f>
        <v>0</v>
      </c>
      <c r="AD63" s="8">
        <f>AD9*Para!$J11</f>
        <v>0</v>
      </c>
      <c r="AE63" s="8">
        <f>AE9*Para!$J11</f>
        <v>0</v>
      </c>
      <c r="AF63" s="8">
        <f>AF9*Para!$J11</f>
        <v>0</v>
      </c>
      <c r="AG63" s="8">
        <f>AG9*Para!$J11</f>
        <v>0</v>
      </c>
      <c r="AH63" s="8">
        <f>AH9*Para!$J11</f>
        <v>0</v>
      </c>
      <c r="AI63" s="8">
        <f>AI9*Para!$J11</f>
        <v>0</v>
      </c>
      <c r="AJ63" s="8">
        <f>AJ9*Para!$J11</f>
        <v>0</v>
      </c>
      <c r="AK63" s="8">
        <f>AK9*Para!$J11</f>
        <v>0</v>
      </c>
      <c r="AL63" s="8">
        <f>AL9*Para!$J11</f>
        <v>0</v>
      </c>
      <c r="AM63" s="8">
        <f>AM9*Para!$J11</f>
        <v>0</v>
      </c>
      <c r="AN63" s="8">
        <f>AN9*Para!$J11</f>
        <v>0</v>
      </c>
      <c r="AO63" s="8">
        <f>AO9*Para!$J11</f>
        <v>0</v>
      </c>
      <c r="AP63" s="8">
        <f>AP9*Para!$J11</f>
        <v>0</v>
      </c>
      <c r="AQ63" s="8">
        <f>AQ9*Para!$J11</f>
        <v>0</v>
      </c>
      <c r="AR63" s="8">
        <f>AR9*Para!$J11</f>
        <v>0</v>
      </c>
      <c r="AS63" s="8">
        <f>AS9*Para!$J11</f>
        <v>0</v>
      </c>
      <c r="AT63" s="8">
        <f>AT9*Para!$J11</f>
        <v>0</v>
      </c>
      <c r="AU63" s="8">
        <f>AU9*Para!$J11</f>
        <v>0</v>
      </c>
      <c r="AV63" s="8">
        <f>AV9*Para!$J11</f>
        <v>0</v>
      </c>
      <c r="AW63" s="8">
        <f>AW9*Para!$J11</f>
        <v>0</v>
      </c>
      <c r="AX63" s="8">
        <f>AX9*Para!$J11</f>
        <v>0</v>
      </c>
      <c r="AY63" s="8">
        <f>AY9*Para!$J11</f>
        <v>0</v>
      </c>
      <c r="AZ63" s="8">
        <f>AZ9*Para!$J11</f>
        <v>0</v>
      </c>
      <c r="BA63" s="8">
        <f>BA9*Para!$J11</f>
        <v>0</v>
      </c>
      <c r="BB63" s="8">
        <f>BB9*Para!$J11</f>
        <v>0</v>
      </c>
      <c r="BC63" s="8">
        <f>BC9*Para!$J11</f>
        <v>0</v>
      </c>
      <c r="BD63" s="8">
        <f>BD9*Para!$J11</f>
        <v>0</v>
      </c>
      <c r="BE63" s="8">
        <f>BE9*Para!$J11</f>
        <v>0</v>
      </c>
      <c r="BF63" s="8">
        <f>BF9*Para!$J11</f>
        <v>0</v>
      </c>
      <c r="BG63" s="8">
        <f>BG9*Para!$J11</f>
        <v>0</v>
      </c>
      <c r="BH63" s="8">
        <f>BH9*Para!$J11</f>
        <v>0</v>
      </c>
      <c r="BI63" s="8">
        <f>BI9*Para!$J11</f>
        <v>0</v>
      </c>
    </row>
    <row r="64" spans="1:61">
      <c r="A64" s="3" t="str">
        <f t="shared" si="8"/>
        <v>Product 7</v>
      </c>
      <c r="B64" s="8">
        <f>B10*Para!$J12</f>
        <v>0</v>
      </c>
      <c r="C64" s="8">
        <f>C10*Para!$J12</f>
        <v>0</v>
      </c>
      <c r="D64" s="8">
        <f>D10*Para!$J12</f>
        <v>0</v>
      </c>
      <c r="E64" s="8">
        <f>E10*Para!$J12</f>
        <v>0</v>
      </c>
      <c r="F64" s="8">
        <f>F10*Para!$J12</f>
        <v>0</v>
      </c>
      <c r="G64" s="8">
        <f>G10*Para!$J12</f>
        <v>0</v>
      </c>
      <c r="H64" s="8">
        <f>H10*Para!$J12</f>
        <v>0</v>
      </c>
      <c r="I64" s="8">
        <f>I10*Para!$J12</f>
        <v>0</v>
      </c>
      <c r="J64" s="8">
        <f>J10*Para!$J12</f>
        <v>0</v>
      </c>
      <c r="K64" s="8">
        <f>K10*Para!$J12</f>
        <v>0</v>
      </c>
      <c r="L64" s="8">
        <f>L10*Para!$J12</f>
        <v>0</v>
      </c>
      <c r="M64" s="8">
        <f>M10*Para!$J12</f>
        <v>0</v>
      </c>
      <c r="N64" s="8">
        <f>N10*Para!$J12</f>
        <v>0</v>
      </c>
      <c r="O64" s="8">
        <f>O10*Para!$J12</f>
        <v>0</v>
      </c>
      <c r="P64" s="8">
        <f>P10*Para!$J12</f>
        <v>0</v>
      </c>
      <c r="Q64" s="8">
        <f>Q10*Para!$J12</f>
        <v>0</v>
      </c>
      <c r="R64" s="8">
        <f>R10*Para!$J12</f>
        <v>0</v>
      </c>
      <c r="S64" s="8">
        <f>S10*Para!$J12</f>
        <v>0</v>
      </c>
      <c r="T64" s="8">
        <f>T10*Para!$J12</f>
        <v>0</v>
      </c>
      <c r="U64" s="8">
        <f>U10*Para!$J12</f>
        <v>0</v>
      </c>
      <c r="V64" s="8">
        <f>V10*Para!$J12</f>
        <v>0</v>
      </c>
      <c r="W64" s="8">
        <f>W10*Para!$J12</f>
        <v>0</v>
      </c>
      <c r="X64" s="8">
        <f>X10*Para!$J12</f>
        <v>0</v>
      </c>
      <c r="Y64" s="8">
        <f>Y10*Para!$J12</f>
        <v>0</v>
      </c>
      <c r="Z64" s="8">
        <f>Z10*Para!$J12</f>
        <v>0</v>
      </c>
      <c r="AA64" s="8">
        <f>AA10*Para!$J12</f>
        <v>0</v>
      </c>
      <c r="AB64" s="8">
        <f>AB10*Para!$J12</f>
        <v>0</v>
      </c>
      <c r="AC64" s="8">
        <f>AC10*Para!$J12</f>
        <v>0</v>
      </c>
      <c r="AD64" s="8">
        <f>AD10*Para!$J12</f>
        <v>0</v>
      </c>
      <c r="AE64" s="8">
        <f>AE10*Para!$J12</f>
        <v>0</v>
      </c>
      <c r="AF64" s="8">
        <f>AF10*Para!$J12</f>
        <v>0</v>
      </c>
      <c r="AG64" s="8">
        <f>AG10*Para!$J12</f>
        <v>0</v>
      </c>
      <c r="AH64" s="8">
        <f>AH10*Para!$J12</f>
        <v>0</v>
      </c>
      <c r="AI64" s="8">
        <f>AI10*Para!$J12</f>
        <v>0</v>
      </c>
      <c r="AJ64" s="8">
        <f>AJ10*Para!$J12</f>
        <v>0</v>
      </c>
      <c r="AK64" s="8">
        <f>AK10*Para!$J12</f>
        <v>0</v>
      </c>
      <c r="AL64" s="8">
        <f>AL10*Para!$J12</f>
        <v>0</v>
      </c>
      <c r="AM64" s="8">
        <f>AM10*Para!$J12</f>
        <v>0</v>
      </c>
      <c r="AN64" s="8">
        <f>AN10*Para!$J12</f>
        <v>0</v>
      </c>
      <c r="AO64" s="8">
        <f>AO10*Para!$J12</f>
        <v>0</v>
      </c>
      <c r="AP64" s="8">
        <f>AP10*Para!$J12</f>
        <v>0</v>
      </c>
      <c r="AQ64" s="8">
        <f>AQ10*Para!$J12</f>
        <v>0</v>
      </c>
      <c r="AR64" s="8">
        <f>AR10*Para!$J12</f>
        <v>0</v>
      </c>
      <c r="AS64" s="8">
        <f>AS10*Para!$J12</f>
        <v>0</v>
      </c>
      <c r="AT64" s="8">
        <f>AT10*Para!$J12</f>
        <v>0</v>
      </c>
      <c r="AU64" s="8">
        <f>AU10*Para!$J12</f>
        <v>0</v>
      </c>
      <c r="AV64" s="8">
        <f>AV10*Para!$J12</f>
        <v>0</v>
      </c>
      <c r="AW64" s="8">
        <f>AW10*Para!$J12</f>
        <v>0</v>
      </c>
      <c r="AX64" s="8">
        <f>AX10*Para!$J12</f>
        <v>0</v>
      </c>
      <c r="AY64" s="8">
        <f>AY10*Para!$J12</f>
        <v>0</v>
      </c>
      <c r="AZ64" s="8">
        <f>AZ10*Para!$J12</f>
        <v>0</v>
      </c>
      <c r="BA64" s="8">
        <f>BA10*Para!$J12</f>
        <v>0</v>
      </c>
      <c r="BB64" s="8">
        <f>BB10*Para!$J12</f>
        <v>0</v>
      </c>
      <c r="BC64" s="8">
        <f>BC10*Para!$J12</f>
        <v>0</v>
      </c>
      <c r="BD64" s="8">
        <f>BD10*Para!$J12</f>
        <v>0</v>
      </c>
      <c r="BE64" s="8">
        <f>BE10*Para!$J12</f>
        <v>0</v>
      </c>
      <c r="BF64" s="8">
        <f>BF10*Para!$J12</f>
        <v>0</v>
      </c>
      <c r="BG64" s="8">
        <f>BG10*Para!$J12</f>
        <v>0</v>
      </c>
      <c r="BH64" s="8">
        <f>BH10*Para!$J12</f>
        <v>0</v>
      </c>
      <c r="BI64" s="8">
        <f>BI10*Para!$J12</f>
        <v>0</v>
      </c>
    </row>
    <row r="65" spans="1:61">
      <c r="A65" s="3" t="str">
        <f t="shared" si="8"/>
        <v>Product 8</v>
      </c>
      <c r="B65" s="8">
        <f>B11*Para!$J13</f>
        <v>0</v>
      </c>
      <c r="C65" s="8">
        <f>C11*Para!$J13</f>
        <v>0</v>
      </c>
      <c r="D65" s="8">
        <f>D11*Para!$J13</f>
        <v>0</v>
      </c>
      <c r="E65" s="8">
        <f>E11*Para!$J13</f>
        <v>0</v>
      </c>
      <c r="F65" s="8">
        <f>F11*Para!$J13</f>
        <v>0</v>
      </c>
      <c r="G65" s="8">
        <f>G11*Para!$J13</f>
        <v>0</v>
      </c>
      <c r="H65" s="8">
        <f>H11*Para!$J13</f>
        <v>0</v>
      </c>
      <c r="I65" s="8">
        <f>I11*Para!$J13</f>
        <v>0</v>
      </c>
      <c r="J65" s="8">
        <f>J11*Para!$J13</f>
        <v>0</v>
      </c>
      <c r="K65" s="8">
        <f>K11*Para!$J13</f>
        <v>0</v>
      </c>
      <c r="L65" s="8">
        <f>L11*Para!$J13</f>
        <v>0</v>
      </c>
      <c r="M65" s="8">
        <f>M11*Para!$J13</f>
        <v>0</v>
      </c>
      <c r="N65" s="8">
        <f>N11*Para!$J13</f>
        <v>0</v>
      </c>
      <c r="O65" s="8">
        <f>O11*Para!$J13</f>
        <v>0</v>
      </c>
      <c r="P65" s="8">
        <f>P11*Para!$J13</f>
        <v>0</v>
      </c>
      <c r="Q65" s="8">
        <f>Q11*Para!$J13</f>
        <v>0</v>
      </c>
      <c r="R65" s="8">
        <f>R11*Para!$J13</f>
        <v>0</v>
      </c>
      <c r="S65" s="8">
        <f>S11*Para!$J13</f>
        <v>0</v>
      </c>
      <c r="T65" s="8">
        <f>T11*Para!$J13</f>
        <v>0</v>
      </c>
      <c r="U65" s="8">
        <f>U11*Para!$J13</f>
        <v>0</v>
      </c>
      <c r="V65" s="8">
        <f>V11*Para!$J13</f>
        <v>0</v>
      </c>
      <c r="W65" s="8">
        <f>W11*Para!$J13</f>
        <v>0</v>
      </c>
      <c r="X65" s="8">
        <f>X11*Para!$J13</f>
        <v>0</v>
      </c>
      <c r="Y65" s="8">
        <f>Y11*Para!$J13</f>
        <v>0</v>
      </c>
      <c r="Z65" s="8">
        <f>Z11*Para!$J13</f>
        <v>0</v>
      </c>
      <c r="AA65" s="8">
        <f>AA11*Para!$J13</f>
        <v>0</v>
      </c>
      <c r="AB65" s="8">
        <f>AB11*Para!$J13</f>
        <v>0</v>
      </c>
      <c r="AC65" s="8">
        <f>AC11*Para!$J13</f>
        <v>0</v>
      </c>
      <c r="AD65" s="8">
        <f>AD11*Para!$J13</f>
        <v>0</v>
      </c>
      <c r="AE65" s="8">
        <f>AE11*Para!$J13</f>
        <v>0</v>
      </c>
      <c r="AF65" s="8">
        <f>AF11*Para!$J13</f>
        <v>0</v>
      </c>
      <c r="AG65" s="8">
        <f>AG11*Para!$J13</f>
        <v>0</v>
      </c>
      <c r="AH65" s="8">
        <f>AH11*Para!$J13</f>
        <v>0</v>
      </c>
      <c r="AI65" s="8">
        <f>AI11*Para!$J13</f>
        <v>0</v>
      </c>
      <c r="AJ65" s="8">
        <f>AJ11*Para!$J13</f>
        <v>0</v>
      </c>
      <c r="AK65" s="8">
        <f>AK11*Para!$J13</f>
        <v>0</v>
      </c>
      <c r="AL65" s="8">
        <f>AL11*Para!$J13</f>
        <v>0</v>
      </c>
      <c r="AM65" s="8">
        <f>AM11*Para!$J13</f>
        <v>0</v>
      </c>
      <c r="AN65" s="8">
        <f>AN11*Para!$J13</f>
        <v>0</v>
      </c>
      <c r="AO65" s="8">
        <f>AO11*Para!$J13</f>
        <v>0</v>
      </c>
      <c r="AP65" s="8">
        <f>AP11*Para!$J13</f>
        <v>0</v>
      </c>
      <c r="AQ65" s="8">
        <f>AQ11*Para!$J13</f>
        <v>0</v>
      </c>
      <c r="AR65" s="8">
        <f>AR11*Para!$J13</f>
        <v>0</v>
      </c>
      <c r="AS65" s="8">
        <f>AS11*Para!$J13</f>
        <v>0</v>
      </c>
      <c r="AT65" s="8">
        <f>AT11*Para!$J13</f>
        <v>0</v>
      </c>
      <c r="AU65" s="8">
        <f>AU11*Para!$J13</f>
        <v>0</v>
      </c>
      <c r="AV65" s="8">
        <f>AV11*Para!$J13</f>
        <v>0</v>
      </c>
      <c r="AW65" s="8">
        <f>AW11*Para!$J13</f>
        <v>0</v>
      </c>
      <c r="AX65" s="8">
        <f>AX11*Para!$J13</f>
        <v>0</v>
      </c>
      <c r="AY65" s="8">
        <f>AY11*Para!$J13</f>
        <v>0</v>
      </c>
      <c r="AZ65" s="8">
        <f>AZ11*Para!$J13</f>
        <v>0</v>
      </c>
      <c r="BA65" s="8">
        <f>BA11*Para!$J13</f>
        <v>0</v>
      </c>
      <c r="BB65" s="8">
        <f>BB11*Para!$J13</f>
        <v>0</v>
      </c>
      <c r="BC65" s="8">
        <f>BC11*Para!$J13</f>
        <v>0</v>
      </c>
      <c r="BD65" s="8">
        <f>BD11*Para!$J13</f>
        <v>0</v>
      </c>
      <c r="BE65" s="8">
        <f>BE11*Para!$J13</f>
        <v>0</v>
      </c>
      <c r="BF65" s="8">
        <f>BF11*Para!$J13</f>
        <v>0</v>
      </c>
      <c r="BG65" s="8">
        <f>BG11*Para!$J13</f>
        <v>0</v>
      </c>
      <c r="BH65" s="8">
        <f>BH11*Para!$J13</f>
        <v>0</v>
      </c>
      <c r="BI65" s="8">
        <f>BI11*Para!$J13</f>
        <v>0</v>
      </c>
    </row>
    <row r="66" spans="1:61">
      <c r="A66" s="3" t="str">
        <f t="shared" si="8"/>
        <v>Product 9</v>
      </c>
      <c r="B66" s="8">
        <f>B12*Para!$J14</f>
        <v>0</v>
      </c>
      <c r="C66" s="8">
        <f>C12*Para!$J14</f>
        <v>0</v>
      </c>
      <c r="D66" s="8">
        <f>D12*Para!$J14</f>
        <v>0</v>
      </c>
      <c r="E66" s="8">
        <f>E12*Para!$J14</f>
        <v>0</v>
      </c>
      <c r="F66" s="8">
        <f>F12*Para!$J14</f>
        <v>0</v>
      </c>
      <c r="G66" s="8">
        <f>G12*Para!$J14</f>
        <v>0</v>
      </c>
      <c r="H66" s="8">
        <f>H12*Para!$J14</f>
        <v>0</v>
      </c>
      <c r="I66" s="8">
        <f>I12*Para!$J14</f>
        <v>0</v>
      </c>
      <c r="J66" s="8">
        <f>J12*Para!$J14</f>
        <v>0</v>
      </c>
      <c r="K66" s="8">
        <f>K12*Para!$J14</f>
        <v>0</v>
      </c>
      <c r="L66" s="8">
        <f>L12*Para!$J14</f>
        <v>0</v>
      </c>
      <c r="M66" s="8">
        <f>M12*Para!$J14</f>
        <v>0</v>
      </c>
      <c r="N66" s="8">
        <f>N12*Para!$J14</f>
        <v>0</v>
      </c>
      <c r="O66" s="8">
        <f>O12*Para!$J14</f>
        <v>0</v>
      </c>
      <c r="P66" s="8">
        <f>P12*Para!$J14</f>
        <v>0</v>
      </c>
      <c r="Q66" s="8">
        <f>Q12*Para!$J14</f>
        <v>0</v>
      </c>
      <c r="R66" s="8">
        <f>R12*Para!$J14</f>
        <v>0</v>
      </c>
      <c r="S66" s="8">
        <f>S12*Para!$J14</f>
        <v>0</v>
      </c>
      <c r="T66" s="8">
        <f>T12*Para!$J14</f>
        <v>0</v>
      </c>
      <c r="U66" s="8">
        <f>U12*Para!$J14</f>
        <v>0</v>
      </c>
      <c r="V66" s="8">
        <f>V12*Para!$J14</f>
        <v>0</v>
      </c>
      <c r="W66" s="8">
        <f>W12*Para!$J14</f>
        <v>0</v>
      </c>
      <c r="X66" s="8">
        <f>X12*Para!$J14</f>
        <v>0</v>
      </c>
      <c r="Y66" s="8">
        <f>Y12*Para!$J14</f>
        <v>0</v>
      </c>
      <c r="Z66" s="8">
        <f>Z12*Para!$J14</f>
        <v>0</v>
      </c>
      <c r="AA66" s="8">
        <f>AA12*Para!$J14</f>
        <v>0</v>
      </c>
      <c r="AB66" s="8">
        <f>AB12*Para!$J14</f>
        <v>0</v>
      </c>
      <c r="AC66" s="8">
        <f>AC12*Para!$J14</f>
        <v>0</v>
      </c>
      <c r="AD66" s="8">
        <f>AD12*Para!$J14</f>
        <v>0</v>
      </c>
      <c r="AE66" s="8">
        <f>AE12*Para!$J14</f>
        <v>0</v>
      </c>
      <c r="AF66" s="8">
        <f>AF12*Para!$J14</f>
        <v>0</v>
      </c>
      <c r="AG66" s="8">
        <f>AG12*Para!$J14</f>
        <v>0</v>
      </c>
      <c r="AH66" s="8">
        <f>AH12*Para!$J14</f>
        <v>0</v>
      </c>
      <c r="AI66" s="8">
        <f>AI12*Para!$J14</f>
        <v>0</v>
      </c>
      <c r="AJ66" s="8">
        <f>AJ12*Para!$J14</f>
        <v>0</v>
      </c>
      <c r="AK66" s="8">
        <f>AK12*Para!$J14</f>
        <v>0</v>
      </c>
      <c r="AL66" s="8">
        <f>AL12*Para!$J14</f>
        <v>0</v>
      </c>
      <c r="AM66" s="8">
        <f>AM12*Para!$J14</f>
        <v>0</v>
      </c>
      <c r="AN66" s="8">
        <f>AN12*Para!$J14</f>
        <v>0</v>
      </c>
      <c r="AO66" s="8">
        <f>AO12*Para!$J14</f>
        <v>0</v>
      </c>
      <c r="AP66" s="8">
        <f>AP12*Para!$J14</f>
        <v>0</v>
      </c>
      <c r="AQ66" s="8">
        <f>AQ12*Para!$J14</f>
        <v>0</v>
      </c>
      <c r="AR66" s="8">
        <f>AR12*Para!$J14</f>
        <v>0</v>
      </c>
      <c r="AS66" s="8">
        <f>AS12*Para!$J14</f>
        <v>0</v>
      </c>
      <c r="AT66" s="8">
        <f>AT12*Para!$J14</f>
        <v>0</v>
      </c>
      <c r="AU66" s="8">
        <f>AU12*Para!$J14</f>
        <v>0</v>
      </c>
      <c r="AV66" s="8">
        <f>AV12*Para!$J14</f>
        <v>0</v>
      </c>
      <c r="AW66" s="8">
        <f>AW12*Para!$J14</f>
        <v>0</v>
      </c>
      <c r="AX66" s="8">
        <f>AX12*Para!$J14</f>
        <v>0</v>
      </c>
      <c r="AY66" s="8">
        <f>AY12*Para!$J14</f>
        <v>0</v>
      </c>
      <c r="AZ66" s="8">
        <f>AZ12*Para!$J14</f>
        <v>0</v>
      </c>
      <c r="BA66" s="8">
        <f>BA12*Para!$J14</f>
        <v>0</v>
      </c>
      <c r="BB66" s="8">
        <f>BB12*Para!$J14</f>
        <v>0</v>
      </c>
      <c r="BC66" s="8">
        <f>BC12*Para!$J14</f>
        <v>0</v>
      </c>
      <c r="BD66" s="8">
        <f>BD12*Para!$J14</f>
        <v>0</v>
      </c>
      <c r="BE66" s="8">
        <f>BE12*Para!$J14</f>
        <v>0</v>
      </c>
      <c r="BF66" s="8">
        <f>BF12*Para!$J14</f>
        <v>0</v>
      </c>
      <c r="BG66" s="8">
        <f>BG12*Para!$J14</f>
        <v>0</v>
      </c>
      <c r="BH66" s="8">
        <f>BH12*Para!$J14</f>
        <v>0</v>
      </c>
      <c r="BI66" s="8">
        <f>BI12*Para!$J14</f>
        <v>0</v>
      </c>
    </row>
    <row r="67" spans="1:61">
      <c r="A67" s="3" t="str">
        <f t="shared" si="8"/>
        <v>Product 10</v>
      </c>
      <c r="B67" s="8">
        <f>B13*Para!$J15</f>
        <v>0</v>
      </c>
      <c r="C67" s="8">
        <f>C13*Para!$J15</f>
        <v>0</v>
      </c>
      <c r="D67" s="8">
        <f>D13*Para!$J15</f>
        <v>0</v>
      </c>
      <c r="E67" s="8">
        <f>E13*Para!$J15</f>
        <v>0</v>
      </c>
      <c r="F67" s="8">
        <f>F13*Para!$J15</f>
        <v>0</v>
      </c>
      <c r="G67" s="8">
        <f>G13*Para!$J15</f>
        <v>0</v>
      </c>
      <c r="H67" s="8">
        <f>H13*Para!$J15</f>
        <v>0</v>
      </c>
      <c r="I67" s="8">
        <f>I13*Para!$J15</f>
        <v>0</v>
      </c>
      <c r="J67" s="8">
        <f>J13*Para!$J15</f>
        <v>0</v>
      </c>
      <c r="K67" s="8">
        <f>K13*Para!$J15</f>
        <v>0</v>
      </c>
      <c r="L67" s="8">
        <f>L13*Para!$J15</f>
        <v>0</v>
      </c>
      <c r="M67" s="8">
        <f>M13*Para!$J15</f>
        <v>0</v>
      </c>
      <c r="N67" s="8">
        <f>N13*Para!$J15</f>
        <v>0</v>
      </c>
      <c r="O67" s="8">
        <f>O13*Para!$J15</f>
        <v>0</v>
      </c>
      <c r="P67" s="8">
        <f>P13*Para!$J15</f>
        <v>0</v>
      </c>
      <c r="Q67" s="8">
        <f>Q13*Para!$J15</f>
        <v>0</v>
      </c>
      <c r="R67" s="8">
        <f>R13*Para!$J15</f>
        <v>0</v>
      </c>
      <c r="S67" s="8">
        <f>S13*Para!$J15</f>
        <v>0</v>
      </c>
      <c r="T67" s="8">
        <f>T13*Para!$J15</f>
        <v>0</v>
      </c>
      <c r="U67" s="8">
        <f>U13*Para!$J15</f>
        <v>0</v>
      </c>
      <c r="V67" s="8">
        <f>V13*Para!$J15</f>
        <v>0</v>
      </c>
      <c r="W67" s="8">
        <f>W13*Para!$J15</f>
        <v>0</v>
      </c>
      <c r="X67" s="8">
        <f>X13*Para!$J15</f>
        <v>0</v>
      </c>
      <c r="Y67" s="8">
        <f>Y13*Para!$J15</f>
        <v>0</v>
      </c>
      <c r="Z67" s="8">
        <f>Z13*Para!$J15</f>
        <v>0</v>
      </c>
      <c r="AA67" s="8">
        <f>AA13*Para!$J15</f>
        <v>0</v>
      </c>
      <c r="AB67" s="8">
        <f>AB13*Para!$J15</f>
        <v>0</v>
      </c>
      <c r="AC67" s="8">
        <f>AC13*Para!$J15</f>
        <v>0</v>
      </c>
      <c r="AD67" s="8">
        <f>AD13*Para!$J15</f>
        <v>0</v>
      </c>
      <c r="AE67" s="8">
        <f>AE13*Para!$J15</f>
        <v>0</v>
      </c>
      <c r="AF67" s="8">
        <f>AF13*Para!$J15</f>
        <v>0</v>
      </c>
      <c r="AG67" s="8">
        <f>AG13*Para!$J15</f>
        <v>0</v>
      </c>
      <c r="AH67" s="8">
        <f>AH13*Para!$J15</f>
        <v>0</v>
      </c>
      <c r="AI67" s="8">
        <f>AI13*Para!$J15</f>
        <v>0</v>
      </c>
      <c r="AJ67" s="8">
        <f>AJ13*Para!$J15</f>
        <v>0</v>
      </c>
      <c r="AK67" s="8">
        <f>AK13*Para!$J15</f>
        <v>0</v>
      </c>
      <c r="AL67" s="8">
        <f>AL13*Para!$J15</f>
        <v>0</v>
      </c>
      <c r="AM67" s="8">
        <f>AM13*Para!$J15</f>
        <v>0</v>
      </c>
      <c r="AN67" s="8">
        <f>AN13*Para!$J15</f>
        <v>0</v>
      </c>
      <c r="AO67" s="8">
        <f>AO13*Para!$J15</f>
        <v>0</v>
      </c>
      <c r="AP67" s="8">
        <f>AP13*Para!$J15</f>
        <v>0</v>
      </c>
      <c r="AQ67" s="8">
        <f>AQ13*Para!$J15</f>
        <v>0</v>
      </c>
      <c r="AR67" s="8">
        <f>AR13*Para!$J15</f>
        <v>0</v>
      </c>
      <c r="AS67" s="8">
        <f>AS13*Para!$J15</f>
        <v>0</v>
      </c>
      <c r="AT67" s="8">
        <f>AT13*Para!$J15</f>
        <v>0</v>
      </c>
      <c r="AU67" s="8">
        <f>AU13*Para!$J15</f>
        <v>0</v>
      </c>
      <c r="AV67" s="8">
        <f>AV13*Para!$J15</f>
        <v>0</v>
      </c>
      <c r="AW67" s="8">
        <f>AW13*Para!$J15</f>
        <v>0</v>
      </c>
      <c r="AX67" s="8">
        <f>AX13*Para!$J15</f>
        <v>0</v>
      </c>
      <c r="AY67" s="8">
        <f>AY13*Para!$J15</f>
        <v>0</v>
      </c>
      <c r="AZ67" s="8">
        <f>AZ13*Para!$J15</f>
        <v>0</v>
      </c>
      <c r="BA67" s="8">
        <f>BA13*Para!$J15</f>
        <v>0</v>
      </c>
      <c r="BB67" s="8">
        <f>BB13*Para!$J15</f>
        <v>0</v>
      </c>
      <c r="BC67" s="8">
        <f>BC13*Para!$J15</f>
        <v>0</v>
      </c>
      <c r="BD67" s="8">
        <f>BD13*Para!$J15</f>
        <v>0</v>
      </c>
      <c r="BE67" s="8">
        <f>BE13*Para!$J15</f>
        <v>0</v>
      </c>
      <c r="BF67" s="8">
        <f>BF13*Para!$J15</f>
        <v>0</v>
      </c>
      <c r="BG67" s="8">
        <f>BG13*Para!$J15</f>
        <v>0</v>
      </c>
      <c r="BH67" s="8">
        <f>BH13*Para!$J15</f>
        <v>0</v>
      </c>
      <c r="BI67" s="8">
        <f>BI13*Para!$J15</f>
        <v>0</v>
      </c>
    </row>
    <row r="68" spans="1:61" ht="13">
      <c r="A68" s="4"/>
    </row>
    <row r="69" spans="1:61">
      <c r="A69" s="49" t="s">
        <v>77</v>
      </c>
      <c r="B69" s="8">
        <f>SUM(B58:B67)</f>
        <v>55</v>
      </c>
      <c r="C69" s="8">
        <f t="shared" ref="C69:BI69" si="9">SUM(C58:C67)</f>
        <v>82.5</v>
      </c>
      <c r="D69" s="8">
        <f t="shared" si="9"/>
        <v>110</v>
      </c>
      <c r="E69" s="8">
        <f t="shared" si="9"/>
        <v>137.5</v>
      </c>
      <c r="F69" s="8">
        <f t="shared" si="9"/>
        <v>165</v>
      </c>
      <c r="G69" s="8">
        <f t="shared" si="9"/>
        <v>192.5</v>
      </c>
      <c r="H69" s="8">
        <f t="shared" si="9"/>
        <v>220</v>
      </c>
      <c r="I69" s="8">
        <f t="shared" si="9"/>
        <v>247.5</v>
      </c>
      <c r="J69" s="8">
        <f t="shared" si="9"/>
        <v>275</v>
      </c>
      <c r="K69" s="8">
        <f t="shared" si="9"/>
        <v>302.5</v>
      </c>
      <c r="L69" s="8">
        <f t="shared" si="9"/>
        <v>330</v>
      </c>
      <c r="M69" s="8">
        <f t="shared" si="9"/>
        <v>357.5</v>
      </c>
      <c r="N69" s="8">
        <f t="shared" si="9"/>
        <v>385</v>
      </c>
      <c r="O69" s="8">
        <f t="shared" si="9"/>
        <v>412.5</v>
      </c>
      <c r="P69" s="8">
        <f t="shared" si="9"/>
        <v>440</v>
      </c>
      <c r="Q69" s="8">
        <f t="shared" si="9"/>
        <v>467.5</v>
      </c>
      <c r="R69" s="8">
        <f t="shared" si="9"/>
        <v>495</v>
      </c>
      <c r="S69" s="8">
        <f t="shared" si="9"/>
        <v>522.5</v>
      </c>
      <c r="T69" s="8">
        <f t="shared" si="9"/>
        <v>550</v>
      </c>
      <c r="U69" s="8">
        <f t="shared" si="9"/>
        <v>577.5</v>
      </c>
      <c r="V69" s="8">
        <f t="shared" si="9"/>
        <v>605</v>
      </c>
      <c r="W69" s="8">
        <f t="shared" si="9"/>
        <v>632.5</v>
      </c>
      <c r="X69" s="8">
        <f t="shared" si="9"/>
        <v>660</v>
      </c>
      <c r="Y69" s="8">
        <f t="shared" si="9"/>
        <v>687.5</v>
      </c>
      <c r="Z69" s="8">
        <f t="shared" si="9"/>
        <v>715</v>
      </c>
      <c r="AA69" s="8">
        <f t="shared" si="9"/>
        <v>742.5</v>
      </c>
      <c r="AB69" s="8">
        <f t="shared" si="9"/>
        <v>770</v>
      </c>
      <c r="AC69" s="8">
        <f t="shared" si="9"/>
        <v>797.5</v>
      </c>
      <c r="AD69" s="8">
        <f t="shared" si="9"/>
        <v>825</v>
      </c>
      <c r="AE69" s="8">
        <f t="shared" si="9"/>
        <v>852.5</v>
      </c>
      <c r="AF69" s="8">
        <f t="shared" si="9"/>
        <v>880</v>
      </c>
      <c r="AG69" s="8">
        <f t="shared" si="9"/>
        <v>907.5</v>
      </c>
      <c r="AH69" s="8">
        <f t="shared" si="9"/>
        <v>935</v>
      </c>
      <c r="AI69" s="8">
        <f t="shared" si="9"/>
        <v>962.5</v>
      </c>
      <c r="AJ69" s="8">
        <f t="shared" si="9"/>
        <v>990</v>
      </c>
      <c r="AK69" s="8">
        <f t="shared" si="9"/>
        <v>1017.5</v>
      </c>
      <c r="AL69" s="8">
        <f t="shared" si="9"/>
        <v>1045</v>
      </c>
      <c r="AM69" s="8">
        <f t="shared" si="9"/>
        <v>1072.5</v>
      </c>
      <c r="AN69" s="8">
        <f t="shared" si="9"/>
        <v>1100</v>
      </c>
      <c r="AO69" s="8">
        <f t="shared" si="9"/>
        <v>1127.5</v>
      </c>
      <c r="AP69" s="8">
        <f t="shared" si="9"/>
        <v>1155</v>
      </c>
      <c r="AQ69" s="8">
        <f t="shared" si="9"/>
        <v>1182.5</v>
      </c>
      <c r="AR69" s="8">
        <f t="shared" si="9"/>
        <v>1210</v>
      </c>
      <c r="AS69" s="8">
        <f t="shared" si="9"/>
        <v>1237.5</v>
      </c>
      <c r="AT69" s="8">
        <f t="shared" si="9"/>
        <v>1265</v>
      </c>
      <c r="AU69" s="8">
        <f t="shared" si="9"/>
        <v>1292.5</v>
      </c>
      <c r="AV69" s="8">
        <f t="shared" si="9"/>
        <v>1320</v>
      </c>
      <c r="AW69" s="8">
        <f t="shared" si="9"/>
        <v>1347.5</v>
      </c>
      <c r="AX69" s="8">
        <f t="shared" si="9"/>
        <v>1375</v>
      </c>
      <c r="AY69" s="8">
        <f t="shared" si="9"/>
        <v>1402.5</v>
      </c>
      <c r="AZ69" s="8">
        <f t="shared" si="9"/>
        <v>1430</v>
      </c>
      <c r="BA69" s="8">
        <f t="shared" si="9"/>
        <v>1457.5</v>
      </c>
      <c r="BB69" s="8">
        <f t="shared" si="9"/>
        <v>1485</v>
      </c>
      <c r="BC69" s="8">
        <f t="shared" si="9"/>
        <v>1512.5</v>
      </c>
      <c r="BD69" s="8">
        <f t="shared" si="9"/>
        <v>1540</v>
      </c>
      <c r="BE69" s="8">
        <f t="shared" si="9"/>
        <v>1567.5</v>
      </c>
      <c r="BF69" s="8">
        <f t="shared" si="9"/>
        <v>1595</v>
      </c>
      <c r="BG69" s="8">
        <f t="shared" si="9"/>
        <v>1622.5</v>
      </c>
      <c r="BH69" s="8">
        <f t="shared" si="9"/>
        <v>1650</v>
      </c>
      <c r="BI69" s="8">
        <f t="shared" si="9"/>
        <v>1677.5</v>
      </c>
    </row>
  </sheetData>
  <sheetProtection sheet="1" objects="1" scenarios="1" selectLockedCells="1"/>
  <mergeCells count="5">
    <mergeCell ref="B2:M2"/>
    <mergeCell ref="N2:Y2"/>
    <mergeCell ref="Z2:AK2"/>
    <mergeCell ref="AL2:AW2"/>
    <mergeCell ref="AX2:BI2"/>
  </mergeCell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BI34"/>
  <sheetViews>
    <sheetView showGridLines="0" showRowColHeaders="0" zoomScale="80" zoomScaleNormal="80" zoomScalePageLayoutView="80" workbookViewId="0">
      <pane xSplit="1" ySplit="3" topLeftCell="B4" activePane="bottomRight" state="frozen"/>
      <selection activeCell="B4" sqref="B4"/>
      <selection pane="topRight" activeCell="B4" sqref="B4"/>
      <selection pane="bottomLeft" activeCell="B4" sqref="B4"/>
      <selection pane="bottomRight" activeCell="A4" sqref="A4"/>
    </sheetView>
  </sheetViews>
  <sheetFormatPr baseColWidth="10" defaultColWidth="8.83203125" defaultRowHeight="17" x14ac:dyDescent="0"/>
  <cols>
    <col min="1" max="1" width="24.6640625" style="42" customWidth="1"/>
    <col min="2" max="2" width="12.6640625" style="43" customWidth="1"/>
    <col min="3" max="3" width="12.6640625" style="44" customWidth="1"/>
    <col min="4" max="7" width="12.6640625" style="43" customWidth="1"/>
    <col min="8" max="12" width="8.83203125" style="45"/>
    <col min="13" max="13" width="9.5" style="45" bestFit="1" customWidth="1"/>
    <col min="14" max="16384" width="8.83203125" style="45"/>
  </cols>
  <sheetData>
    <row r="1" spans="1:61" ht="100" customHeight="1"/>
    <row r="2" spans="1:61" s="42" customFormat="1" ht="17" customHeight="1">
      <c r="A2" s="43"/>
      <c r="B2" s="208">
        <f>Vol!B2</f>
        <v>2018</v>
      </c>
      <c r="C2" s="208"/>
      <c r="D2" s="208"/>
      <c r="E2" s="208"/>
      <c r="F2" s="208"/>
      <c r="G2" s="208"/>
      <c r="H2" s="208"/>
      <c r="I2" s="208"/>
      <c r="J2" s="208"/>
      <c r="K2" s="208"/>
      <c r="L2" s="208"/>
      <c r="M2" s="208"/>
      <c r="N2" s="208">
        <f>B2+1</f>
        <v>2019</v>
      </c>
      <c r="O2" s="208"/>
      <c r="P2" s="208"/>
      <c r="Q2" s="208"/>
      <c r="R2" s="208"/>
      <c r="S2" s="208"/>
      <c r="T2" s="208"/>
      <c r="U2" s="208"/>
      <c r="V2" s="208"/>
      <c r="W2" s="208"/>
      <c r="X2" s="208"/>
      <c r="Y2" s="208"/>
      <c r="Z2" s="208">
        <f>N2+1</f>
        <v>2020</v>
      </c>
      <c r="AA2" s="208"/>
      <c r="AB2" s="208"/>
      <c r="AC2" s="208"/>
      <c r="AD2" s="208"/>
      <c r="AE2" s="208"/>
      <c r="AF2" s="208"/>
      <c r="AG2" s="208"/>
      <c r="AH2" s="208"/>
      <c r="AI2" s="208"/>
      <c r="AJ2" s="208"/>
      <c r="AK2" s="208"/>
      <c r="AL2" s="208">
        <f>Z2+1</f>
        <v>2021</v>
      </c>
      <c r="AM2" s="208"/>
      <c r="AN2" s="208"/>
      <c r="AO2" s="208"/>
      <c r="AP2" s="208"/>
      <c r="AQ2" s="208"/>
      <c r="AR2" s="208"/>
      <c r="AS2" s="208"/>
      <c r="AT2" s="208"/>
      <c r="AU2" s="208"/>
      <c r="AV2" s="208"/>
      <c r="AW2" s="208"/>
      <c r="AX2" s="208">
        <f>AL2+1</f>
        <v>2022</v>
      </c>
      <c r="AY2" s="208"/>
      <c r="AZ2" s="208"/>
      <c r="BA2" s="208"/>
      <c r="BB2" s="208"/>
      <c r="BC2" s="208"/>
      <c r="BD2" s="208"/>
      <c r="BE2" s="208"/>
      <c r="BF2" s="208"/>
      <c r="BG2" s="208"/>
      <c r="BH2" s="208"/>
      <c r="BI2" s="208"/>
    </row>
    <row r="3" spans="1:61" s="42" customFormat="1">
      <c r="A3" s="46"/>
      <c r="B3" s="46" t="str">
        <f>Vol!B3</f>
        <v>Jan</v>
      </c>
      <c r="C3" s="46" t="str">
        <f>Vol!C3</f>
        <v>Feb</v>
      </c>
      <c r="D3" s="46" t="str">
        <f>Vol!D3</f>
        <v>Mar</v>
      </c>
      <c r="E3" s="46" t="str">
        <f>Vol!E3</f>
        <v>Apr</v>
      </c>
      <c r="F3" s="46" t="str">
        <f>Vol!F3</f>
        <v>May</v>
      </c>
      <c r="G3" s="46" t="str">
        <f>Vol!G3</f>
        <v>Jun</v>
      </c>
      <c r="H3" s="46" t="str">
        <f>Vol!H3</f>
        <v>Jul</v>
      </c>
      <c r="I3" s="46" t="str">
        <f>Vol!I3</f>
        <v>Aug</v>
      </c>
      <c r="J3" s="46" t="str">
        <f>Vol!J3</f>
        <v>Sep</v>
      </c>
      <c r="K3" s="46" t="str">
        <f>Vol!K3</f>
        <v>Oct</v>
      </c>
      <c r="L3" s="46" t="str">
        <f>Vol!L3</f>
        <v>Nov</v>
      </c>
      <c r="M3" s="46" t="str">
        <f>Vol!M3</f>
        <v>Dec</v>
      </c>
      <c r="N3" s="46" t="str">
        <f>Vol!N3</f>
        <v>Jan</v>
      </c>
      <c r="O3" s="46" t="str">
        <f>Vol!O3</f>
        <v>Feb</v>
      </c>
      <c r="P3" s="46" t="str">
        <f>Vol!P3</f>
        <v>Mar</v>
      </c>
      <c r="Q3" s="46" t="str">
        <f>Vol!Q3</f>
        <v>Apr</v>
      </c>
      <c r="R3" s="46" t="str">
        <f>Vol!R3</f>
        <v>May</v>
      </c>
      <c r="S3" s="46" t="str">
        <f>Vol!S3</f>
        <v>Jun</v>
      </c>
      <c r="T3" s="46" t="str">
        <f>Vol!T3</f>
        <v>Jul</v>
      </c>
      <c r="U3" s="46" t="str">
        <f>Vol!U3</f>
        <v>Aug</v>
      </c>
      <c r="V3" s="46" t="str">
        <f>Vol!V3</f>
        <v>Sep</v>
      </c>
      <c r="W3" s="46" t="str">
        <f>Vol!W3</f>
        <v>Oct</v>
      </c>
      <c r="X3" s="46" t="str">
        <f>Vol!X3</f>
        <v>Nov</v>
      </c>
      <c r="Y3" s="46" t="str">
        <f>Vol!Y3</f>
        <v>Dec</v>
      </c>
      <c r="Z3" s="46" t="str">
        <f>Vol!Z3</f>
        <v>Jan</v>
      </c>
      <c r="AA3" s="46" t="str">
        <f>Vol!AA3</f>
        <v>Feb</v>
      </c>
      <c r="AB3" s="46" t="str">
        <f>Vol!AB3</f>
        <v>Mar</v>
      </c>
      <c r="AC3" s="46" t="str">
        <f>Vol!AC3</f>
        <v>Apr</v>
      </c>
      <c r="AD3" s="46" t="str">
        <f>Vol!AD3</f>
        <v>May</v>
      </c>
      <c r="AE3" s="46" t="str">
        <f>Vol!AE3</f>
        <v>Jun</v>
      </c>
      <c r="AF3" s="46" t="str">
        <f>Vol!AF3</f>
        <v>Jul</v>
      </c>
      <c r="AG3" s="46" t="str">
        <f>Vol!AG3</f>
        <v>Aug</v>
      </c>
      <c r="AH3" s="46" t="str">
        <f>Vol!AH3</f>
        <v>Sep</v>
      </c>
      <c r="AI3" s="46" t="str">
        <f>Vol!AI3</f>
        <v>Oct</v>
      </c>
      <c r="AJ3" s="46" t="str">
        <f>Vol!AJ3</f>
        <v>Nov</v>
      </c>
      <c r="AK3" s="46" t="str">
        <f>Vol!AK3</f>
        <v>Dec</v>
      </c>
      <c r="AL3" s="46" t="str">
        <f>Vol!AL3</f>
        <v>Jan</v>
      </c>
      <c r="AM3" s="46" t="str">
        <f>Vol!AM3</f>
        <v>Feb</v>
      </c>
      <c r="AN3" s="46" t="str">
        <f>Vol!AN3</f>
        <v>Mar</v>
      </c>
      <c r="AO3" s="46" t="str">
        <f>Vol!AO3</f>
        <v>Apr</v>
      </c>
      <c r="AP3" s="46" t="str">
        <f>Vol!AP3</f>
        <v>May</v>
      </c>
      <c r="AQ3" s="46" t="str">
        <f>Vol!AQ3</f>
        <v>Jun</v>
      </c>
      <c r="AR3" s="46" t="str">
        <f>Vol!AR3</f>
        <v>Jul</v>
      </c>
      <c r="AS3" s="46" t="str">
        <f>Vol!AS3</f>
        <v>Aug</v>
      </c>
      <c r="AT3" s="46" t="str">
        <f>Vol!AT3</f>
        <v>Sep</v>
      </c>
      <c r="AU3" s="46" t="str">
        <f>Vol!AU3</f>
        <v>Oct</v>
      </c>
      <c r="AV3" s="46" t="str">
        <f>Vol!AV3</f>
        <v>Nov</v>
      </c>
      <c r="AW3" s="46" t="str">
        <f>Vol!AW3</f>
        <v>Dec</v>
      </c>
      <c r="AX3" s="46" t="str">
        <f>Vol!AX3</f>
        <v>Jan</v>
      </c>
      <c r="AY3" s="46" t="str">
        <f>Vol!AY3</f>
        <v>Feb</v>
      </c>
      <c r="AZ3" s="46" t="str">
        <f>Vol!AZ3</f>
        <v>Mar</v>
      </c>
      <c r="BA3" s="46" t="str">
        <f>Vol!BA3</f>
        <v>Apr</v>
      </c>
      <c r="BB3" s="46" t="str">
        <f>Vol!BB3</f>
        <v>May</v>
      </c>
      <c r="BC3" s="46" t="str">
        <f>Vol!BC3</f>
        <v>Jun</v>
      </c>
      <c r="BD3" s="46" t="str">
        <f>Vol!BD3</f>
        <v>Jul</v>
      </c>
      <c r="BE3" s="46" t="str">
        <f>Vol!BE3</f>
        <v>Aug</v>
      </c>
      <c r="BF3" s="46" t="str">
        <f>Vol!BF3</f>
        <v>Sep</v>
      </c>
      <c r="BG3" s="46" t="str">
        <f>Vol!BG3</f>
        <v>Oct</v>
      </c>
      <c r="BH3" s="46" t="str">
        <f>Vol!BH3</f>
        <v>Nov</v>
      </c>
      <c r="BI3" s="46" t="str">
        <f>Vol!BI3</f>
        <v>Dec</v>
      </c>
    </row>
    <row r="4" spans="1:61">
      <c r="A4" s="66" t="s">
        <v>33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A5" s="66" t="s">
        <v>34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A6" s="66" t="s">
        <v>35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A7" s="66" t="s">
        <v>36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c r="A8" s="66" t="s">
        <v>37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3">
      <c r="A9" s="45"/>
      <c r="B9" s="45"/>
      <c r="C9" s="45"/>
      <c r="D9" s="45"/>
      <c r="E9" s="45"/>
      <c r="F9" s="45"/>
      <c r="G9" s="45"/>
    </row>
    <row r="10" spans="1:61">
      <c r="A10" s="46" t="s">
        <v>38</v>
      </c>
      <c r="B10" s="47">
        <f>SUM(B4:B8)</f>
        <v>0</v>
      </c>
      <c r="C10" s="47">
        <f t="shared" ref="C10:BI10" si="0">SUM(C4:C8)</f>
        <v>0</v>
      </c>
      <c r="D10" s="47">
        <f t="shared" si="0"/>
        <v>0</v>
      </c>
      <c r="E10" s="47">
        <f t="shared" si="0"/>
        <v>0</v>
      </c>
      <c r="F10" s="47">
        <f t="shared" si="0"/>
        <v>0</v>
      </c>
      <c r="G10" s="47">
        <f t="shared" si="0"/>
        <v>0</v>
      </c>
      <c r="H10" s="47">
        <f t="shared" si="0"/>
        <v>0</v>
      </c>
      <c r="I10" s="47">
        <f t="shared" si="0"/>
        <v>0</v>
      </c>
      <c r="J10" s="47">
        <f t="shared" si="0"/>
        <v>0</v>
      </c>
      <c r="K10" s="47">
        <f t="shared" si="0"/>
        <v>0</v>
      </c>
      <c r="L10" s="47">
        <f t="shared" si="0"/>
        <v>0</v>
      </c>
      <c r="M10" s="47">
        <f t="shared" si="0"/>
        <v>0</v>
      </c>
      <c r="N10" s="47">
        <f t="shared" si="0"/>
        <v>0</v>
      </c>
      <c r="O10" s="47">
        <f t="shared" si="0"/>
        <v>0</v>
      </c>
      <c r="P10" s="47">
        <f t="shared" si="0"/>
        <v>0</v>
      </c>
      <c r="Q10" s="47">
        <f t="shared" si="0"/>
        <v>0</v>
      </c>
      <c r="R10" s="47">
        <f t="shared" si="0"/>
        <v>0</v>
      </c>
      <c r="S10" s="47">
        <f t="shared" si="0"/>
        <v>0</v>
      </c>
      <c r="T10" s="47">
        <f t="shared" si="0"/>
        <v>0</v>
      </c>
      <c r="U10" s="47">
        <f t="shared" si="0"/>
        <v>0</v>
      </c>
      <c r="V10" s="47">
        <f t="shared" si="0"/>
        <v>0</v>
      </c>
      <c r="W10" s="47">
        <f t="shared" si="0"/>
        <v>0</v>
      </c>
      <c r="X10" s="47">
        <f t="shared" si="0"/>
        <v>0</v>
      </c>
      <c r="Y10" s="47">
        <f t="shared" si="0"/>
        <v>0</v>
      </c>
      <c r="Z10" s="47">
        <f t="shared" si="0"/>
        <v>0</v>
      </c>
      <c r="AA10" s="47">
        <f t="shared" si="0"/>
        <v>0</v>
      </c>
      <c r="AB10" s="47">
        <f t="shared" si="0"/>
        <v>0</v>
      </c>
      <c r="AC10" s="47">
        <f t="shared" si="0"/>
        <v>0</v>
      </c>
      <c r="AD10" s="47">
        <f t="shared" si="0"/>
        <v>0</v>
      </c>
      <c r="AE10" s="47">
        <f t="shared" si="0"/>
        <v>0</v>
      </c>
      <c r="AF10" s="47">
        <f t="shared" si="0"/>
        <v>0</v>
      </c>
      <c r="AG10" s="47">
        <f t="shared" si="0"/>
        <v>0</v>
      </c>
      <c r="AH10" s="47">
        <f t="shared" si="0"/>
        <v>0</v>
      </c>
      <c r="AI10" s="47">
        <f t="shared" si="0"/>
        <v>0</v>
      </c>
      <c r="AJ10" s="47">
        <f t="shared" si="0"/>
        <v>0</v>
      </c>
      <c r="AK10" s="47">
        <f t="shared" si="0"/>
        <v>0</v>
      </c>
      <c r="AL10" s="47">
        <f t="shared" si="0"/>
        <v>0</v>
      </c>
      <c r="AM10" s="47">
        <f t="shared" si="0"/>
        <v>0</v>
      </c>
      <c r="AN10" s="47">
        <f t="shared" si="0"/>
        <v>0</v>
      </c>
      <c r="AO10" s="47">
        <f t="shared" si="0"/>
        <v>0</v>
      </c>
      <c r="AP10" s="47">
        <f t="shared" si="0"/>
        <v>0</v>
      </c>
      <c r="AQ10" s="47">
        <f t="shared" si="0"/>
        <v>0</v>
      </c>
      <c r="AR10" s="47">
        <f t="shared" si="0"/>
        <v>0</v>
      </c>
      <c r="AS10" s="47">
        <f t="shared" si="0"/>
        <v>0</v>
      </c>
      <c r="AT10" s="47">
        <f t="shared" si="0"/>
        <v>0</v>
      </c>
      <c r="AU10" s="47">
        <f t="shared" si="0"/>
        <v>0</v>
      </c>
      <c r="AV10" s="47">
        <f t="shared" si="0"/>
        <v>0</v>
      </c>
      <c r="AW10" s="47">
        <f t="shared" si="0"/>
        <v>0</v>
      </c>
      <c r="AX10" s="47">
        <f t="shared" si="0"/>
        <v>0</v>
      </c>
      <c r="AY10" s="47">
        <f t="shared" si="0"/>
        <v>0</v>
      </c>
      <c r="AZ10" s="47">
        <f t="shared" si="0"/>
        <v>0</v>
      </c>
      <c r="BA10" s="47">
        <f t="shared" si="0"/>
        <v>0</v>
      </c>
      <c r="BB10" s="47">
        <f t="shared" si="0"/>
        <v>0</v>
      </c>
      <c r="BC10" s="47">
        <f t="shared" si="0"/>
        <v>0</v>
      </c>
      <c r="BD10" s="47">
        <f t="shared" si="0"/>
        <v>0</v>
      </c>
      <c r="BE10" s="47">
        <f t="shared" si="0"/>
        <v>0</v>
      </c>
      <c r="BF10" s="47">
        <f t="shared" si="0"/>
        <v>0</v>
      </c>
      <c r="BG10" s="47">
        <f t="shared" si="0"/>
        <v>0</v>
      </c>
      <c r="BH10" s="47">
        <f t="shared" si="0"/>
        <v>0</v>
      </c>
      <c r="BI10" s="47">
        <f t="shared" si="0"/>
        <v>0</v>
      </c>
    </row>
    <row r="11" spans="1:61" ht="13">
      <c r="A11" s="45"/>
      <c r="B11" s="45"/>
      <c r="C11" s="45"/>
      <c r="D11" s="45"/>
      <c r="E11" s="45"/>
      <c r="F11" s="45"/>
      <c r="G11" s="45"/>
    </row>
    <row r="12" spans="1:61">
      <c r="A12" s="66" t="s">
        <v>40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c r="A13" s="66" t="s">
        <v>41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c r="A14" s="66" t="s">
        <v>42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c r="A15" s="66" t="s">
        <v>43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c r="A16" s="66" t="s">
        <v>44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3">
      <c r="A17" s="44"/>
      <c r="B17" s="44"/>
    </row>
    <row r="18" spans="1:61">
      <c r="A18" s="46" t="s">
        <v>39</v>
      </c>
      <c r="B18" s="47">
        <f>SUM(B12:B16)</f>
        <v>0</v>
      </c>
      <c r="C18" s="47">
        <f t="shared" ref="C18:BI18" si="1">SUM(C12:C16)</f>
        <v>0</v>
      </c>
      <c r="D18" s="47">
        <f t="shared" si="1"/>
        <v>0</v>
      </c>
      <c r="E18" s="47">
        <f t="shared" si="1"/>
        <v>0</v>
      </c>
      <c r="F18" s="47">
        <f t="shared" si="1"/>
        <v>0</v>
      </c>
      <c r="G18" s="47">
        <f t="shared" si="1"/>
        <v>0</v>
      </c>
      <c r="H18" s="47">
        <f t="shared" si="1"/>
        <v>0</v>
      </c>
      <c r="I18" s="47">
        <f t="shared" si="1"/>
        <v>0</v>
      </c>
      <c r="J18" s="47">
        <f t="shared" si="1"/>
        <v>0</v>
      </c>
      <c r="K18" s="47">
        <f t="shared" si="1"/>
        <v>0</v>
      </c>
      <c r="L18" s="47">
        <f t="shared" si="1"/>
        <v>0</v>
      </c>
      <c r="M18" s="47">
        <f t="shared" si="1"/>
        <v>0</v>
      </c>
      <c r="N18" s="47">
        <f t="shared" si="1"/>
        <v>0</v>
      </c>
      <c r="O18" s="47">
        <f t="shared" si="1"/>
        <v>0</v>
      </c>
      <c r="P18" s="47">
        <f t="shared" si="1"/>
        <v>0</v>
      </c>
      <c r="Q18" s="47">
        <f t="shared" si="1"/>
        <v>0</v>
      </c>
      <c r="R18" s="47">
        <f t="shared" si="1"/>
        <v>0</v>
      </c>
      <c r="S18" s="47">
        <f t="shared" si="1"/>
        <v>0</v>
      </c>
      <c r="T18" s="47">
        <f t="shared" si="1"/>
        <v>0</v>
      </c>
      <c r="U18" s="47">
        <f t="shared" si="1"/>
        <v>0</v>
      </c>
      <c r="V18" s="47">
        <f t="shared" si="1"/>
        <v>0</v>
      </c>
      <c r="W18" s="47">
        <f t="shared" si="1"/>
        <v>0</v>
      </c>
      <c r="X18" s="47">
        <f t="shared" si="1"/>
        <v>0</v>
      </c>
      <c r="Y18" s="47">
        <f t="shared" si="1"/>
        <v>0</v>
      </c>
      <c r="Z18" s="47">
        <f t="shared" si="1"/>
        <v>0</v>
      </c>
      <c r="AA18" s="47">
        <f t="shared" si="1"/>
        <v>0</v>
      </c>
      <c r="AB18" s="47">
        <f t="shared" si="1"/>
        <v>0</v>
      </c>
      <c r="AC18" s="47">
        <f t="shared" si="1"/>
        <v>0</v>
      </c>
      <c r="AD18" s="47">
        <f t="shared" si="1"/>
        <v>0</v>
      </c>
      <c r="AE18" s="47">
        <f t="shared" si="1"/>
        <v>0</v>
      </c>
      <c r="AF18" s="47">
        <f t="shared" si="1"/>
        <v>0</v>
      </c>
      <c r="AG18" s="47">
        <f t="shared" si="1"/>
        <v>0</v>
      </c>
      <c r="AH18" s="47">
        <f t="shared" si="1"/>
        <v>0</v>
      </c>
      <c r="AI18" s="47">
        <f t="shared" si="1"/>
        <v>0</v>
      </c>
      <c r="AJ18" s="47">
        <f t="shared" si="1"/>
        <v>0</v>
      </c>
      <c r="AK18" s="47">
        <f t="shared" si="1"/>
        <v>0</v>
      </c>
      <c r="AL18" s="47">
        <f t="shared" si="1"/>
        <v>0</v>
      </c>
      <c r="AM18" s="47">
        <f t="shared" si="1"/>
        <v>0</v>
      </c>
      <c r="AN18" s="47">
        <f t="shared" si="1"/>
        <v>0</v>
      </c>
      <c r="AO18" s="47">
        <f t="shared" si="1"/>
        <v>0</v>
      </c>
      <c r="AP18" s="47">
        <f t="shared" si="1"/>
        <v>0</v>
      </c>
      <c r="AQ18" s="47">
        <f t="shared" si="1"/>
        <v>0</v>
      </c>
      <c r="AR18" s="47">
        <f t="shared" si="1"/>
        <v>0</v>
      </c>
      <c r="AS18" s="47">
        <f t="shared" si="1"/>
        <v>0</v>
      </c>
      <c r="AT18" s="47">
        <f t="shared" si="1"/>
        <v>0</v>
      </c>
      <c r="AU18" s="47">
        <f t="shared" si="1"/>
        <v>0</v>
      </c>
      <c r="AV18" s="47">
        <f t="shared" si="1"/>
        <v>0</v>
      </c>
      <c r="AW18" s="47">
        <f t="shared" si="1"/>
        <v>0</v>
      </c>
      <c r="AX18" s="47">
        <f t="shared" si="1"/>
        <v>0</v>
      </c>
      <c r="AY18" s="47">
        <f t="shared" si="1"/>
        <v>0</v>
      </c>
      <c r="AZ18" s="47">
        <f t="shared" si="1"/>
        <v>0</v>
      </c>
      <c r="BA18" s="47">
        <f t="shared" si="1"/>
        <v>0</v>
      </c>
      <c r="BB18" s="47">
        <f t="shared" si="1"/>
        <v>0</v>
      </c>
      <c r="BC18" s="47">
        <f t="shared" si="1"/>
        <v>0</v>
      </c>
      <c r="BD18" s="47">
        <f t="shared" si="1"/>
        <v>0</v>
      </c>
      <c r="BE18" s="47">
        <f t="shared" si="1"/>
        <v>0</v>
      </c>
      <c r="BF18" s="47">
        <f t="shared" si="1"/>
        <v>0</v>
      </c>
      <c r="BG18" s="47">
        <f t="shared" si="1"/>
        <v>0</v>
      </c>
      <c r="BH18" s="47">
        <f t="shared" si="1"/>
        <v>0</v>
      </c>
      <c r="BI18" s="47">
        <f t="shared" si="1"/>
        <v>0</v>
      </c>
    </row>
    <row r="20" spans="1:61">
      <c r="A20" s="66" t="s">
        <v>45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c r="A21" s="66" t="s">
        <v>46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c r="A22" s="66" t="s">
        <v>47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c r="A23" s="66" t="s">
        <v>48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c r="A24" s="66" t="s">
        <v>49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ht="13">
      <c r="A25" s="44"/>
      <c r="B25" s="44"/>
    </row>
    <row r="26" spans="1:61">
      <c r="A26" s="46" t="s">
        <v>50</v>
      </c>
      <c r="B26" s="47">
        <f>SUM(B20:B24)</f>
        <v>0</v>
      </c>
      <c r="C26" s="47">
        <f t="shared" ref="C26:BI26" si="2">SUM(C20:C24)</f>
        <v>0</v>
      </c>
      <c r="D26" s="47">
        <f t="shared" si="2"/>
        <v>0</v>
      </c>
      <c r="E26" s="47">
        <f t="shared" si="2"/>
        <v>0</v>
      </c>
      <c r="F26" s="47">
        <f t="shared" si="2"/>
        <v>0</v>
      </c>
      <c r="G26" s="47">
        <f t="shared" si="2"/>
        <v>0</v>
      </c>
      <c r="H26" s="47">
        <f t="shared" si="2"/>
        <v>0</v>
      </c>
      <c r="I26" s="47">
        <f t="shared" si="2"/>
        <v>0</v>
      </c>
      <c r="J26" s="47">
        <f t="shared" si="2"/>
        <v>0</v>
      </c>
      <c r="K26" s="47">
        <f t="shared" si="2"/>
        <v>0</v>
      </c>
      <c r="L26" s="47">
        <f t="shared" si="2"/>
        <v>0</v>
      </c>
      <c r="M26" s="47">
        <f t="shared" si="2"/>
        <v>0</v>
      </c>
      <c r="N26" s="47">
        <f t="shared" si="2"/>
        <v>0</v>
      </c>
      <c r="O26" s="47">
        <f t="shared" si="2"/>
        <v>0</v>
      </c>
      <c r="P26" s="47">
        <f t="shared" si="2"/>
        <v>0</v>
      </c>
      <c r="Q26" s="47">
        <f t="shared" si="2"/>
        <v>0</v>
      </c>
      <c r="R26" s="47">
        <f t="shared" si="2"/>
        <v>0</v>
      </c>
      <c r="S26" s="47">
        <f t="shared" si="2"/>
        <v>0</v>
      </c>
      <c r="T26" s="47">
        <f t="shared" si="2"/>
        <v>0</v>
      </c>
      <c r="U26" s="47">
        <f t="shared" si="2"/>
        <v>0</v>
      </c>
      <c r="V26" s="47">
        <f t="shared" si="2"/>
        <v>0</v>
      </c>
      <c r="W26" s="47">
        <f t="shared" si="2"/>
        <v>0</v>
      </c>
      <c r="X26" s="47">
        <f t="shared" si="2"/>
        <v>0</v>
      </c>
      <c r="Y26" s="47">
        <f t="shared" si="2"/>
        <v>0</v>
      </c>
      <c r="Z26" s="47">
        <f t="shared" si="2"/>
        <v>0</v>
      </c>
      <c r="AA26" s="47">
        <f t="shared" si="2"/>
        <v>0</v>
      </c>
      <c r="AB26" s="47">
        <f t="shared" si="2"/>
        <v>0</v>
      </c>
      <c r="AC26" s="47">
        <f t="shared" si="2"/>
        <v>0</v>
      </c>
      <c r="AD26" s="47">
        <f t="shared" si="2"/>
        <v>0</v>
      </c>
      <c r="AE26" s="47">
        <f t="shared" si="2"/>
        <v>0</v>
      </c>
      <c r="AF26" s="47">
        <f t="shared" si="2"/>
        <v>0</v>
      </c>
      <c r="AG26" s="47">
        <f t="shared" si="2"/>
        <v>0</v>
      </c>
      <c r="AH26" s="47">
        <f t="shared" si="2"/>
        <v>0</v>
      </c>
      <c r="AI26" s="47">
        <f t="shared" si="2"/>
        <v>0</v>
      </c>
      <c r="AJ26" s="47">
        <f t="shared" si="2"/>
        <v>0</v>
      </c>
      <c r="AK26" s="47">
        <f t="shared" si="2"/>
        <v>0</v>
      </c>
      <c r="AL26" s="47">
        <f t="shared" si="2"/>
        <v>0</v>
      </c>
      <c r="AM26" s="47">
        <f t="shared" si="2"/>
        <v>0</v>
      </c>
      <c r="AN26" s="47">
        <f t="shared" si="2"/>
        <v>0</v>
      </c>
      <c r="AO26" s="47">
        <f t="shared" si="2"/>
        <v>0</v>
      </c>
      <c r="AP26" s="47">
        <f t="shared" si="2"/>
        <v>0</v>
      </c>
      <c r="AQ26" s="47">
        <f t="shared" si="2"/>
        <v>0</v>
      </c>
      <c r="AR26" s="47">
        <f t="shared" si="2"/>
        <v>0</v>
      </c>
      <c r="AS26" s="47">
        <f t="shared" si="2"/>
        <v>0</v>
      </c>
      <c r="AT26" s="47">
        <f t="shared" si="2"/>
        <v>0</v>
      </c>
      <c r="AU26" s="47">
        <f t="shared" si="2"/>
        <v>0</v>
      </c>
      <c r="AV26" s="47">
        <f t="shared" si="2"/>
        <v>0</v>
      </c>
      <c r="AW26" s="47">
        <f t="shared" si="2"/>
        <v>0</v>
      </c>
      <c r="AX26" s="47">
        <f t="shared" si="2"/>
        <v>0</v>
      </c>
      <c r="AY26" s="47">
        <f t="shared" si="2"/>
        <v>0</v>
      </c>
      <c r="AZ26" s="47">
        <f t="shared" si="2"/>
        <v>0</v>
      </c>
      <c r="BA26" s="47">
        <f t="shared" si="2"/>
        <v>0</v>
      </c>
      <c r="BB26" s="47">
        <f t="shared" si="2"/>
        <v>0</v>
      </c>
      <c r="BC26" s="47">
        <f t="shared" si="2"/>
        <v>0</v>
      </c>
      <c r="BD26" s="47">
        <f t="shared" si="2"/>
        <v>0</v>
      </c>
      <c r="BE26" s="47">
        <f t="shared" si="2"/>
        <v>0</v>
      </c>
      <c r="BF26" s="47">
        <f t="shared" si="2"/>
        <v>0</v>
      </c>
      <c r="BG26" s="47">
        <f t="shared" si="2"/>
        <v>0</v>
      </c>
      <c r="BH26" s="47">
        <f t="shared" si="2"/>
        <v>0</v>
      </c>
      <c r="BI26" s="47">
        <f t="shared" si="2"/>
        <v>0</v>
      </c>
    </row>
    <row r="28" spans="1:61">
      <c r="A28" s="66" t="s">
        <v>51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66" t="s">
        <v>52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c r="A30" s="66" t="s">
        <v>53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66" t="s">
        <v>54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c r="A32" s="66" t="s">
        <v>55</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ht="13">
      <c r="A33" s="44"/>
      <c r="B33" s="44"/>
    </row>
    <row r="34" spans="1:61">
      <c r="A34" s="46" t="s">
        <v>73</v>
      </c>
      <c r="B34" s="47">
        <f>SUM(B28:B32)</f>
        <v>0</v>
      </c>
      <c r="C34" s="47">
        <f t="shared" ref="C34:BI34" si="3">SUM(C28:C32)</f>
        <v>0</v>
      </c>
      <c r="D34" s="47">
        <f t="shared" si="3"/>
        <v>0</v>
      </c>
      <c r="E34" s="47">
        <f t="shared" si="3"/>
        <v>0</v>
      </c>
      <c r="F34" s="47">
        <f t="shared" si="3"/>
        <v>0</v>
      </c>
      <c r="G34" s="47">
        <f t="shared" si="3"/>
        <v>0</v>
      </c>
      <c r="H34" s="47">
        <f t="shared" si="3"/>
        <v>0</v>
      </c>
      <c r="I34" s="47">
        <f t="shared" si="3"/>
        <v>0</v>
      </c>
      <c r="J34" s="47">
        <f t="shared" si="3"/>
        <v>0</v>
      </c>
      <c r="K34" s="47">
        <f t="shared" si="3"/>
        <v>0</v>
      </c>
      <c r="L34" s="47">
        <f t="shared" si="3"/>
        <v>0</v>
      </c>
      <c r="M34" s="47">
        <f t="shared" si="3"/>
        <v>0</v>
      </c>
      <c r="N34" s="47">
        <f t="shared" si="3"/>
        <v>0</v>
      </c>
      <c r="O34" s="47">
        <f t="shared" si="3"/>
        <v>0</v>
      </c>
      <c r="P34" s="47">
        <f t="shared" si="3"/>
        <v>0</v>
      </c>
      <c r="Q34" s="47">
        <f t="shared" si="3"/>
        <v>0</v>
      </c>
      <c r="R34" s="47">
        <f t="shared" si="3"/>
        <v>0</v>
      </c>
      <c r="S34" s="47">
        <f t="shared" si="3"/>
        <v>0</v>
      </c>
      <c r="T34" s="47">
        <f t="shared" si="3"/>
        <v>0</v>
      </c>
      <c r="U34" s="47">
        <f t="shared" si="3"/>
        <v>0</v>
      </c>
      <c r="V34" s="47">
        <f t="shared" si="3"/>
        <v>0</v>
      </c>
      <c r="W34" s="47">
        <f t="shared" si="3"/>
        <v>0</v>
      </c>
      <c r="X34" s="47">
        <f t="shared" si="3"/>
        <v>0</v>
      </c>
      <c r="Y34" s="47">
        <f t="shared" si="3"/>
        <v>0</v>
      </c>
      <c r="Z34" s="47">
        <f t="shared" si="3"/>
        <v>0</v>
      </c>
      <c r="AA34" s="47">
        <f t="shared" si="3"/>
        <v>0</v>
      </c>
      <c r="AB34" s="47">
        <f t="shared" si="3"/>
        <v>0</v>
      </c>
      <c r="AC34" s="47">
        <f t="shared" si="3"/>
        <v>0</v>
      </c>
      <c r="AD34" s="47">
        <f t="shared" si="3"/>
        <v>0</v>
      </c>
      <c r="AE34" s="47">
        <f t="shared" si="3"/>
        <v>0</v>
      </c>
      <c r="AF34" s="47">
        <f t="shared" si="3"/>
        <v>0</v>
      </c>
      <c r="AG34" s="47">
        <f t="shared" si="3"/>
        <v>0</v>
      </c>
      <c r="AH34" s="47">
        <f t="shared" si="3"/>
        <v>0</v>
      </c>
      <c r="AI34" s="47">
        <f t="shared" si="3"/>
        <v>0</v>
      </c>
      <c r="AJ34" s="47">
        <f t="shared" si="3"/>
        <v>0</v>
      </c>
      <c r="AK34" s="47">
        <f t="shared" si="3"/>
        <v>0</v>
      </c>
      <c r="AL34" s="47">
        <f t="shared" si="3"/>
        <v>0</v>
      </c>
      <c r="AM34" s="47">
        <f t="shared" si="3"/>
        <v>0</v>
      </c>
      <c r="AN34" s="47">
        <f t="shared" si="3"/>
        <v>0</v>
      </c>
      <c r="AO34" s="47">
        <f t="shared" si="3"/>
        <v>0</v>
      </c>
      <c r="AP34" s="47">
        <f t="shared" si="3"/>
        <v>0</v>
      </c>
      <c r="AQ34" s="47">
        <f t="shared" si="3"/>
        <v>0</v>
      </c>
      <c r="AR34" s="47">
        <f t="shared" si="3"/>
        <v>0</v>
      </c>
      <c r="AS34" s="47">
        <f t="shared" si="3"/>
        <v>0</v>
      </c>
      <c r="AT34" s="47">
        <f t="shared" si="3"/>
        <v>0</v>
      </c>
      <c r="AU34" s="47">
        <f t="shared" si="3"/>
        <v>0</v>
      </c>
      <c r="AV34" s="47">
        <f t="shared" si="3"/>
        <v>0</v>
      </c>
      <c r="AW34" s="47">
        <f t="shared" si="3"/>
        <v>0</v>
      </c>
      <c r="AX34" s="47">
        <f t="shared" si="3"/>
        <v>0</v>
      </c>
      <c r="AY34" s="47">
        <f t="shared" si="3"/>
        <v>0</v>
      </c>
      <c r="AZ34" s="47">
        <f t="shared" si="3"/>
        <v>0</v>
      </c>
      <c r="BA34" s="47">
        <f t="shared" si="3"/>
        <v>0</v>
      </c>
      <c r="BB34" s="47">
        <f t="shared" si="3"/>
        <v>0</v>
      </c>
      <c r="BC34" s="47">
        <f t="shared" si="3"/>
        <v>0</v>
      </c>
      <c r="BD34" s="47">
        <f t="shared" si="3"/>
        <v>0</v>
      </c>
      <c r="BE34" s="47">
        <f t="shared" si="3"/>
        <v>0</v>
      </c>
      <c r="BF34" s="47">
        <f t="shared" si="3"/>
        <v>0</v>
      </c>
      <c r="BG34" s="47">
        <f t="shared" si="3"/>
        <v>0</v>
      </c>
      <c r="BH34" s="47">
        <f t="shared" si="3"/>
        <v>0</v>
      </c>
      <c r="BI34" s="47">
        <f t="shared" si="3"/>
        <v>0</v>
      </c>
    </row>
  </sheetData>
  <sheetProtection sheet="1" objects="1" scenarios="1" selectLockedCells="1"/>
  <mergeCells count="5">
    <mergeCell ref="B2:M2"/>
    <mergeCell ref="N2:Y2"/>
    <mergeCell ref="Z2:AK2"/>
    <mergeCell ref="AL2:AW2"/>
    <mergeCell ref="AX2:BI2"/>
  </mergeCells>
  <pageMargins left="0.7" right="0.7" top="0.75" bottom="0.75" header="0.3" footer="0.3"/>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BK66"/>
  <sheetViews>
    <sheetView showGridLines="0" showRowColHeaders="0" zoomScale="80" zoomScaleNormal="80" zoomScalePageLayoutView="80" workbookViewId="0">
      <selection activeCell="B5" sqref="B5"/>
    </sheetView>
  </sheetViews>
  <sheetFormatPr baseColWidth="10" defaultColWidth="8.83203125" defaultRowHeight="13" x14ac:dyDescent="0"/>
  <cols>
    <col min="1" max="1" width="24.6640625" style="6" customWidth="1"/>
    <col min="2" max="61" width="12.5" style="6" customWidth="1"/>
    <col min="62" max="16384" width="8.83203125" style="6"/>
  </cols>
  <sheetData>
    <row r="1" spans="1:63" ht="100" customHeight="1"/>
    <row r="2" spans="1:63" s="3" customFormat="1" ht="17" customHeight="1">
      <c r="B2" s="56" t="s">
        <v>125</v>
      </c>
      <c r="C2" s="208">
        <f>Para!C17</f>
        <v>2018</v>
      </c>
      <c r="D2" s="208"/>
      <c r="E2" s="208"/>
      <c r="F2" s="208"/>
      <c r="G2" s="208">
        <f>C2+1</f>
        <v>2019</v>
      </c>
      <c r="H2" s="208"/>
      <c r="I2" s="208"/>
      <c r="J2" s="208"/>
      <c r="K2" s="208">
        <f>G2+1</f>
        <v>2020</v>
      </c>
      <c r="L2" s="208"/>
      <c r="M2" s="208"/>
      <c r="N2" s="208"/>
      <c r="O2" s="208">
        <f>K2+1</f>
        <v>2021</v>
      </c>
      <c r="P2" s="208"/>
      <c r="Q2" s="208"/>
      <c r="R2" s="208"/>
      <c r="S2" s="208">
        <f>O2+1</f>
        <v>2022</v>
      </c>
      <c r="T2" s="208"/>
      <c r="U2" s="208"/>
      <c r="V2" s="208"/>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s="3" customFormat="1" ht="17">
      <c r="B3" s="49" t="s">
        <v>116</v>
      </c>
      <c r="C3" s="49" t="s">
        <v>87</v>
      </c>
      <c r="D3" s="49" t="s">
        <v>88</v>
      </c>
      <c r="E3" s="49" t="s">
        <v>89</v>
      </c>
      <c r="F3" s="49" t="s">
        <v>90</v>
      </c>
      <c r="G3" s="49" t="s">
        <v>87</v>
      </c>
      <c r="H3" s="49" t="s">
        <v>88</v>
      </c>
      <c r="I3" s="49" t="s">
        <v>89</v>
      </c>
      <c r="J3" s="49" t="s">
        <v>90</v>
      </c>
      <c r="K3" s="49" t="s">
        <v>87</v>
      </c>
      <c r="L3" s="49" t="s">
        <v>88</v>
      </c>
      <c r="M3" s="49" t="s">
        <v>89</v>
      </c>
      <c r="N3" s="49" t="s">
        <v>90</v>
      </c>
      <c r="O3" s="49" t="s">
        <v>87</v>
      </c>
      <c r="P3" s="49" t="s">
        <v>88</v>
      </c>
      <c r="Q3" s="49" t="s">
        <v>89</v>
      </c>
      <c r="R3" s="49" t="s">
        <v>90</v>
      </c>
      <c r="S3" s="49" t="s">
        <v>87</v>
      </c>
      <c r="T3" s="49" t="s">
        <v>88</v>
      </c>
      <c r="U3" s="49" t="s">
        <v>89</v>
      </c>
      <c r="V3" s="49" t="s">
        <v>90</v>
      </c>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c r="B4" s="45"/>
      <c r="C4" s="45"/>
      <c r="D4" s="45"/>
      <c r="E4" s="45"/>
      <c r="F4" s="45"/>
      <c r="G4" s="45"/>
      <c r="H4" s="45"/>
      <c r="I4" s="45"/>
      <c r="J4" s="45"/>
      <c r="K4" s="45"/>
      <c r="L4" s="45"/>
      <c r="M4" s="45"/>
      <c r="N4" s="45"/>
      <c r="O4" s="45"/>
      <c r="P4" s="45"/>
      <c r="Q4" s="45"/>
      <c r="R4" s="45"/>
      <c r="S4" s="45"/>
      <c r="T4" s="45"/>
      <c r="U4" s="45"/>
      <c r="V4" s="45"/>
    </row>
    <row r="5" spans="1:63" ht="17">
      <c r="A5" s="3" t="s">
        <v>91</v>
      </c>
      <c r="B5" s="50">
        <v>0</v>
      </c>
      <c r="C5" s="53">
        <f>$B5+CF!B22</f>
        <v>-2614.8249999999971</v>
      </c>
      <c r="D5" s="53">
        <f>$B5+CF!C22</f>
        <v>-5461.7749999999978</v>
      </c>
      <c r="E5" s="53">
        <f>$B5+CF!D22</f>
        <v>-6515.8499999999985</v>
      </c>
      <c r="F5" s="53">
        <f>$B5+CF!E22</f>
        <v>-6977.0499999999993</v>
      </c>
      <c r="G5" s="53">
        <f>$B5+CF!F22</f>
        <v>-6845.375</v>
      </c>
      <c r="H5" s="53">
        <f>$B5+CF!G22</f>
        <v>-6120.8250000000007</v>
      </c>
      <c r="I5" s="53">
        <f>$B5+CF!H22</f>
        <v>-4803.4000000000015</v>
      </c>
      <c r="J5" s="53">
        <f>$B5+CF!I22</f>
        <v>-2893.1000000000017</v>
      </c>
      <c r="K5" s="53">
        <f>$B5+CF!J22</f>
        <v>-389.92500000000382</v>
      </c>
      <c r="L5" s="53">
        <f>$B5+CF!K22</f>
        <v>2706.1249999999973</v>
      </c>
      <c r="M5" s="53">
        <f>$B5+CF!L22</f>
        <v>6395.0499999999975</v>
      </c>
      <c r="N5" s="53">
        <f>$B5+CF!M22</f>
        <v>10676.849999999999</v>
      </c>
      <c r="O5" s="53">
        <f>$B5+CF!N22</f>
        <v>15551.524999999998</v>
      </c>
      <c r="P5" s="53">
        <f>$B5+CF!O22</f>
        <v>21019.074999999997</v>
      </c>
      <c r="Q5" s="53">
        <f>$B5+CF!P22</f>
        <v>27079.499999999996</v>
      </c>
      <c r="R5" s="53">
        <f>$B5+CF!Q22</f>
        <v>33732.799999999996</v>
      </c>
      <c r="S5" s="53">
        <f>$B5+CF!R22</f>
        <v>40978.974999999991</v>
      </c>
      <c r="T5" s="53">
        <f>$B5+CF!S22</f>
        <v>48818.024999999994</v>
      </c>
      <c r="U5" s="53">
        <f>$B5+CF!T22</f>
        <v>57249.95</v>
      </c>
      <c r="V5" s="53">
        <f>$B5+CF!U22</f>
        <v>66274.75</v>
      </c>
    </row>
    <row r="6" spans="1:63" ht="17">
      <c r="A6" s="3" t="s">
        <v>92</v>
      </c>
      <c r="B6" s="50">
        <v>0</v>
      </c>
      <c r="C6" s="53">
        <f>B6+Inc!B32*Para!$C24*4</f>
        <v>850.5</v>
      </c>
      <c r="D6" s="53">
        <f>Inc!C32*Para!$C24*4</f>
        <v>1701</v>
      </c>
      <c r="E6" s="53">
        <f>Inc!D32*Para!$C24*4</f>
        <v>2551.5</v>
      </c>
      <c r="F6" s="53">
        <f>Inc!E32*Para!$C24*4</f>
        <v>3402</v>
      </c>
      <c r="G6" s="53">
        <f>Inc!F32*Para!$C24*4</f>
        <v>4252.5</v>
      </c>
      <c r="H6" s="53">
        <f>Inc!G32*Para!$C24*4</f>
        <v>5103</v>
      </c>
      <c r="I6" s="53">
        <f>Inc!H32*Para!$C24*4</f>
        <v>5953.5</v>
      </c>
      <c r="J6" s="53">
        <f>Inc!I32*Para!$C24*4</f>
        <v>6804</v>
      </c>
      <c r="K6" s="53">
        <f>Inc!J32*Para!$C24*4</f>
        <v>7654.5000000000009</v>
      </c>
      <c r="L6" s="53">
        <f>Inc!K32*Para!$C24*4</f>
        <v>8505</v>
      </c>
      <c r="M6" s="53">
        <f>Inc!L32*Para!$C24*4</f>
        <v>9355.5</v>
      </c>
      <c r="N6" s="53">
        <f>Inc!M32*Para!$C24*4</f>
        <v>10206</v>
      </c>
      <c r="O6" s="53">
        <f>Inc!N32*Para!$C24*4</f>
        <v>11056.5</v>
      </c>
      <c r="P6" s="53">
        <f>Inc!O32*Para!$C24*4</f>
        <v>11907</v>
      </c>
      <c r="Q6" s="53">
        <f>Inc!P32*Para!$C24*4</f>
        <v>12757.5</v>
      </c>
      <c r="R6" s="53">
        <f>Inc!Q32*Para!$C24*4</f>
        <v>13608</v>
      </c>
      <c r="S6" s="53">
        <f>Inc!R32*Para!$C24*4</f>
        <v>14458.500000000002</v>
      </c>
      <c r="T6" s="53">
        <f>Inc!S32*Para!$C24*4</f>
        <v>15309.000000000002</v>
      </c>
      <c r="U6" s="53">
        <f>Inc!T32*Para!$C24*4</f>
        <v>16159.500000000002</v>
      </c>
      <c r="V6" s="53">
        <f>Inc!U32*Para!$C24*4</f>
        <v>17010</v>
      </c>
    </row>
    <row r="7" spans="1:63" ht="17">
      <c r="A7" s="3" t="s">
        <v>93</v>
      </c>
      <c r="B7" s="50">
        <v>0</v>
      </c>
      <c r="C7" s="53">
        <f>B7+(Inc!B32-Inc!B34)*Para!$C$27*4</f>
        <v>421.2</v>
      </c>
      <c r="D7" s="53">
        <f>(Inc!C32-Inc!C34)*Para!$C$27*4</f>
        <v>2042.3999999999999</v>
      </c>
      <c r="E7" s="53">
        <f>(Inc!D32-Inc!D34)*Para!$C$27*4</f>
        <v>2463.6</v>
      </c>
      <c r="F7" s="53">
        <f>(Inc!E32-Inc!E34)*Para!$C$27*4</f>
        <v>2884.7999999999997</v>
      </c>
      <c r="G7" s="53">
        <f>(Inc!F32-Inc!F34)*Para!$C$27*4</f>
        <v>3306</v>
      </c>
      <c r="H7" s="53">
        <f>(Inc!G32-Inc!G34)*Para!$C$27*4</f>
        <v>3727.2</v>
      </c>
      <c r="I7" s="53">
        <f>(Inc!H32-Inc!H34)*Para!$C$27*4</f>
        <v>4148.3999999999996</v>
      </c>
      <c r="J7" s="53">
        <f>(Inc!I32-Inc!I34)*Para!$C$27*4</f>
        <v>4569.5999999999995</v>
      </c>
      <c r="K7" s="53">
        <f>(Inc!J32-Inc!J34)*Para!$C$27*4</f>
        <v>4990.8</v>
      </c>
      <c r="L7" s="53">
        <f>(Inc!K32-Inc!K34)*Para!$C$27*4</f>
        <v>5412</v>
      </c>
      <c r="M7" s="53">
        <f>(Inc!L32-Inc!L34)*Para!$C$27*4</f>
        <v>5833.2</v>
      </c>
      <c r="N7" s="53">
        <f>(Inc!M32-Inc!M34)*Para!$C$27*4</f>
        <v>6254.4</v>
      </c>
      <c r="O7" s="53">
        <f>(Inc!N32-Inc!N34)*Para!$C$27*4</f>
        <v>6675.5999999999995</v>
      </c>
      <c r="P7" s="53">
        <f>(Inc!O32-Inc!O34)*Para!$C$27*4</f>
        <v>7096.8</v>
      </c>
      <c r="Q7" s="53">
        <f>(Inc!P32-Inc!P34)*Para!$C$27*4</f>
        <v>7518</v>
      </c>
      <c r="R7" s="53">
        <f>(Inc!Q32-Inc!Q34)*Para!$C$27*4</f>
        <v>7939.2</v>
      </c>
      <c r="S7" s="53">
        <f>(Inc!R32-Inc!R34)*Para!$C$27*4</f>
        <v>8360.4</v>
      </c>
      <c r="T7" s="53">
        <f>(Inc!S32-Inc!S34)*Para!$C$27*4</f>
        <v>8781.6</v>
      </c>
      <c r="U7" s="53">
        <f>(Inc!T32-Inc!T34)*Para!$C$27*4</f>
        <v>9202.7999999999993</v>
      </c>
      <c r="V7" s="53">
        <f>(Inc!U32-Inc!U34)*Para!$C$27*4</f>
        <v>9624</v>
      </c>
    </row>
    <row r="8" spans="1:63" ht="17">
      <c r="A8" s="3" t="s">
        <v>94</v>
      </c>
      <c r="B8" s="50">
        <v>0</v>
      </c>
      <c r="C8" s="50">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row>
    <row r="9" spans="1:63">
      <c r="B9" s="57"/>
      <c r="C9" s="58"/>
      <c r="D9" s="58"/>
      <c r="E9" s="58"/>
      <c r="F9" s="58"/>
      <c r="G9" s="58"/>
      <c r="H9" s="58"/>
      <c r="I9" s="58"/>
      <c r="J9" s="58"/>
      <c r="K9" s="58"/>
      <c r="L9" s="58"/>
      <c r="M9" s="58"/>
      <c r="N9" s="58"/>
      <c r="O9" s="58"/>
      <c r="P9" s="58"/>
      <c r="Q9" s="58"/>
      <c r="R9" s="58"/>
      <c r="S9" s="58"/>
      <c r="T9" s="58"/>
      <c r="U9" s="58"/>
      <c r="V9" s="58"/>
    </row>
    <row r="10" spans="1:63" ht="17">
      <c r="A10" s="3" t="s">
        <v>95</v>
      </c>
      <c r="B10" s="53">
        <f>SUM(B5:B8)</f>
        <v>0</v>
      </c>
      <c r="C10" s="53">
        <f>SUM(C5:C8)</f>
        <v>-1343.124999999997</v>
      </c>
      <c r="D10" s="53">
        <f>SUM(D5:D8)</f>
        <v>-1718.374999999998</v>
      </c>
      <c r="E10" s="53">
        <f>SUM(E5:E8)</f>
        <v>-1500.7499999999986</v>
      </c>
      <c r="F10" s="53">
        <f t="shared" ref="F10:V10" si="0">SUM(F5:F8)</f>
        <v>-690.24999999999955</v>
      </c>
      <c r="G10" s="53">
        <f t="shared" si="0"/>
        <v>713.125</v>
      </c>
      <c r="H10" s="53">
        <f t="shared" si="0"/>
        <v>2709.3749999999991</v>
      </c>
      <c r="I10" s="53">
        <f t="shared" si="0"/>
        <v>5298.4999999999982</v>
      </c>
      <c r="J10" s="53">
        <f t="shared" si="0"/>
        <v>8480.4999999999982</v>
      </c>
      <c r="K10" s="53">
        <f t="shared" si="0"/>
        <v>12255.374999999996</v>
      </c>
      <c r="L10" s="53">
        <f t="shared" si="0"/>
        <v>16623.124999999996</v>
      </c>
      <c r="M10" s="53">
        <f t="shared" si="0"/>
        <v>21583.749999999996</v>
      </c>
      <c r="N10" s="53">
        <f t="shared" si="0"/>
        <v>27137.25</v>
      </c>
      <c r="O10" s="53">
        <f t="shared" si="0"/>
        <v>33283.625</v>
      </c>
      <c r="P10" s="53">
        <f t="shared" si="0"/>
        <v>40022.875</v>
      </c>
      <c r="Q10" s="53">
        <f t="shared" si="0"/>
        <v>47355</v>
      </c>
      <c r="R10" s="53">
        <f t="shared" si="0"/>
        <v>55279.999999999993</v>
      </c>
      <c r="S10" s="53">
        <f t="shared" si="0"/>
        <v>63797.874999999993</v>
      </c>
      <c r="T10" s="53">
        <f t="shared" si="0"/>
        <v>72908.625</v>
      </c>
      <c r="U10" s="53">
        <f t="shared" si="0"/>
        <v>82612.25</v>
      </c>
      <c r="V10" s="53">
        <f t="shared" si="0"/>
        <v>92908.75</v>
      </c>
    </row>
    <row r="11" spans="1:63">
      <c r="B11" s="57"/>
      <c r="C11" s="58"/>
      <c r="D11" s="58"/>
      <c r="E11" s="58"/>
      <c r="F11" s="58"/>
      <c r="G11" s="58"/>
      <c r="H11" s="58"/>
      <c r="I11" s="58"/>
      <c r="J11" s="58"/>
      <c r="K11" s="58"/>
      <c r="L11" s="58"/>
      <c r="M11" s="58"/>
      <c r="N11" s="58"/>
      <c r="O11" s="58"/>
      <c r="P11" s="58"/>
      <c r="Q11" s="58"/>
      <c r="R11" s="58"/>
      <c r="S11" s="58"/>
      <c r="T11" s="58"/>
      <c r="U11" s="58"/>
      <c r="V11" s="58"/>
    </row>
    <row r="12" spans="1:63" ht="18" customHeight="1">
      <c r="A12" s="3" t="s">
        <v>96</v>
      </c>
      <c r="B12" s="50">
        <v>0</v>
      </c>
      <c r="C12" s="53">
        <f>B12+SUMIF(Para!$N6:$N15,1,Para!$M6:$M15)</f>
        <v>100000</v>
      </c>
      <c r="D12" s="53">
        <f>C12+SUMIF(Para!$N6:$N15,2,Para!$M6:$M15)</f>
        <v>100000</v>
      </c>
      <c r="E12" s="53">
        <f>D12+SUMIF(Para!$N6:$N15,3,Para!$M6:$M15)</f>
        <v>100000</v>
      </c>
      <c r="F12" s="53">
        <f>E12+SUMIF(Para!$N6:$N15,4,Para!$M6:$M15)</f>
        <v>100000</v>
      </c>
      <c r="G12" s="53">
        <f>F12+SUMIF(Para!$N6:$N15,5,Para!$M6:$M15)</f>
        <v>100000</v>
      </c>
      <c r="H12" s="53">
        <f>G12+SUMIF(Para!$N6:$N15,6,Para!$M6:$M15)</f>
        <v>100000</v>
      </c>
      <c r="I12" s="53">
        <f>H12+SUMIF(Para!$N6:$N15,7,Para!$M6:$M15)</f>
        <v>100000</v>
      </c>
      <c r="J12" s="53">
        <f>I12+SUMIF(Para!$N6:$N15,8,Para!$M6:$M15)</f>
        <v>100000</v>
      </c>
      <c r="K12" s="53">
        <f>J12+SUMIF(Para!$N6:$N15,9,Para!$M6:$M15)</f>
        <v>100000</v>
      </c>
      <c r="L12" s="53">
        <f>K12+SUMIF(Para!$N6:$N15,10,Para!$M6:$M15)</f>
        <v>100000</v>
      </c>
      <c r="M12" s="53">
        <f>L12+SUMIF(Para!$N6:$N15,11,Para!$M6:$M15)</f>
        <v>100000</v>
      </c>
      <c r="N12" s="53">
        <f>M12+SUMIF(Para!$N6:$N15,12,Para!$M6:$M15)</f>
        <v>100000</v>
      </c>
      <c r="O12" s="53">
        <f>N12+SUMIF(Para!$N6:$N15,13,Para!$M6:$M15)</f>
        <v>100000</v>
      </c>
      <c r="P12" s="53">
        <f>O12+SUMIF(Para!$N6:$N15,14,Para!$M6:$M15)</f>
        <v>100000</v>
      </c>
      <c r="Q12" s="53">
        <f>P12+SUMIF(Para!$N6:$N15,15,Para!$M6:$M15)</f>
        <v>100000</v>
      </c>
      <c r="R12" s="53">
        <f>Q12+SUMIF(Para!$N6:$N15,16,Para!$M6:$M15)</f>
        <v>100000</v>
      </c>
      <c r="S12" s="53">
        <f>R12+SUMIF(Para!$N6:$N15,17,Para!$M6:$M15)</f>
        <v>100000</v>
      </c>
      <c r="T12" s="53">
        <f>S12+SUMIF(Para!$N6:$N15,18,Para!$M6:$M15)</f>
        <v>100000</v>
      </c>
      <c r="U12" s="53">
        <f>T12+SUMIF(Para!$N6:$N15,19,Para!$M6:$M15)</f>
        <v>100000</v>
      </c>
      <c r="V12" s="53">
        <f>U12+SUMIF(Para!$N6:$N15,20,Para!$M6:$M15)</f>
        <v>100000</v>
      </c>
    </row>
    <row r="13" spans="1:63" ht="18" customHeight="1">
      <c r="A13" s="3" t="s">
        <v>149</v>
      </c>
      <c r="B13" s="50">
        <v>0</v>
      </c>
      <c r="C13" s="59">
        <f>IF(SUM($B13:B13)&gt;=C12,0,B12/(Para!$C$34*4))</f>
        <v>0</v>
      </c>
      <c r="D13" s="59">
        <f>IF(SUM($B13:C13)&gt;=D12,0,C12/(Para!$C$34*4))</f>
        <v>2500</v>
      </c>
      <c r="E13" s="59">
        <f>IF(SUM($B13:D13)&gt;=E12,0,D12/(Para!$C$34*4))</f>
        <v>2500</v>
      </c>
      <c r="F13" s="59">
        <f>IF(SUM($B13:E13)&gt;=F12,0,E12/(Para!$C$34*4))</f>
        <v>2500</v>
      </c>
      <c r="G13" s="59">
        <f>IF(SUM($B13:F13)&gt;=G12,0,F12/(Para!$C$34*4))</f>
        <v>2500</v>
      </c>
      <c r="H13" s="59">
        <f>IF(SUM($B13:G13)&gt;=H12,0,G12/(Para!$C$34*4))</f>
        <v>2500</v>
      </c>
      <c r="I13" s="59">
        <f>IF(SUM($B13:H13)&gt;=I12,0,H12/(Para!$C$34*4))</f>
        <v>2500</v>
      </c>
      <c r="J13" s="59">
        <f>IF(SUM($B13:I13)&gt;=J12,0,I12/(Para!$C$34*4))</f>
        <v>2500</v>
      </c>
      <c r="K13" s="59">
        <f>IF(SUM($B13:J13)&gt;=K12,0,J12/(Para!$C$34*4))</f>
        <v>2500</v>
      </c>
      <c r="L13" s="59">
        <f>IF(SUM($B13:K13)&gt;=L12,0,K12/(Para!$C$34*4))</f>
        <v>2500</v>
      </c>
      <c r="M13" s="59">
        <f>IF(SUM($B13:L13)&gt;=M12,0,L12/(Para!$C$34*4))</f>
        <v>2500</v>
      </c>
      <c r="N13" s="59">
        <f>IF(SUM($B13:M13)&gt;=N12,0,M12/(Para!$C$34*4))</f>
        <v>2500</v>
      </c>
      <c r="O13" s="59">
        <f>IF(SUM($B13:N13)&gt;=O12,0,N12/(Para!$C$34*4))</f>
        <v>2500</v>
      </c>
      <c r="P13" s="59">
        <f>IF(SUM($B13:O13)&gt;=P12,0,O12/(Para!$C$34*4))</f>
        <v>2500</v>
      </c>
      <c r="Q13" s="59">
        <f>IF(SUM($B13:P13)&gt;=Q12,0,P12/(Para!$C$34*4))</f>
        <v>2500</v>
      </c>
      <c r="R13" s="59">
        <f>IF(SUM($B13:Q13)&gt;=R12,0,Q12/(Para!$C$34*4))</f>
        <v>2500</v>
      </c>
      <c r="S13" s="59">
        <f>IF(SUM($B13:R13)&gt;=S12,0,R12/(Para!$C$34*4))</f>
        <v>2500</v>
      </c>
      <c r="T13" s="59">
        <f>IF(SUM($B13:S13)&gt;=T12,0,S12/(Para!$C$34*4))</f>
        <v>2500</v>
      </c>
      <c r="U13" s="59">
        <f>IF(SUM($B13:T13)&gt;=U12,0,T12/(Para!$C$34*4))</f>
        <v>2500</v>
      </c>
      <c r="V13" s="59">
        <f>IF(SUM($B13:U13)&gt;=V12,0,U12/(Para!$C$34*4))</f>
        <v>2500</v>
      </c>
    </row>
    <row r="14" spans="1:63" ht="18" hidden="1" customHeight="1">
      <c r="A14" s="3" t="s">
        <v>150</v>
      </c>
      <c r="B14" s="50">
        <v>0</v>
      </c>
      <c r="C14" s="59">
        <f>B14+C13</f>
        <v>0</v>
      </c>
      <c r="D14" s="59">
        <f t="shared" ref="D14:V14" si="1">C14+D13</f>
        <v>2500</v>
      </c>
      <c r="E14" s="59">
        <f t="shared" si="1"/>
        <v>5000</v>
      </c>
      <c r="F14" s="59">
        <f t="shared" si="1"/>
        <v>7500</v>
      </c>
      <c r="G14" s="59">
        <f t="shared" si="1"/>
        <v>10000</v>
      </c>
      <c r="H14" s="59">
        <f t="shared" si="1"/>
        <v>12500</v>
      </c>
      <c r="I14" s="59">
        <f t="shared" si="1"/>
        <v>15000</v>
      </c>
      <c r="J14" s="59">
        <f t="shared" si="1"/>
        <v>17500</v>
      </c>
      <c r="K14" s="59">
        <f t="shared" si="1"/>
        <v>20000</v>
      </c>
      <c r="L14" s="59">
        <f t="shared" si="1"/>
        <v>22500</v>
      </c>
      <c r="M14" s="59">
        <f t="shared" si="1"/>
        <v>25000</v>
      </c>
      <c r="N14" s="59">
        <f t="shared" si="1"/>
        <v>27500</v>
      </c>
      <c r="O14" s="59">
        <f t="shared" si="1"/>
        <v>30000</v>
      </c>
      <c r="P14" s="59">
        <f t="shared" si="1"/>
        <v>32500</v>
      </c>
      <c r="Q14" s="59">
        <f t="shared" si="1"/>
        <v>35000</v>
      </c>
      <c r="R14" s="59">
        <f t="shared" si="1"/>
        <v>37500</v>
      </c>
      <c r="S14" s="59">
        <f t="shared" si="1"/>
        <v>40000</v>
      </c>
      <c r="T14" s="59">
        <f t="shared" si="1"/>
        <v>42500</v>
      </c>
      <c r="U14" s="59">
        <f t="shared" si="1"/>
        <v>45000</v>
      </c>
      <c r="V14" s="59">
        <f t="shared" si="1"/>
        <v>47500</v>
      </c>
    </row>
    <row r="15" spans="1:63" ht="18" hidden="1" customHeight="1">
      <c r="A15" s="3" t="s">
        <v>97</v>
      </c>
      <c r="B15" s="50">
        <v>0</v>
      </c>
      <c r="C15" s="53">
        <f>B15+SUM(Inc!B9:D9)</f>
        <v>0</v>
      </c>
      <c r="D15" s="53">
        <f>SUM(Inc!E9:G9)+C15</f>
        <v>2500</v>
      </c>
      <c r="E15" s="53">
        <f>SUM(Inc!H9:J9)+D15</f>
        <v>5000</v>
      </c>
      <c r="F15" s="53">
        <f>SUM(Inc!K9:M9)+E15</f>
        <v>7500</v>
      </c>
      <c r="G15" s="53">
        <f>SUM(Inc!N9:P9)+F15</f>
        <v>10000</v>
      </c>
      <c r="H15" s="53">
        <f>SUM(Inc!Q9:S9)+G15</f>
        <v>12500</v>
      </c>
      <c r="I15" s="53">
        <f>SUM(Inc!T9:V9)+H15</f>
        <v>15000</v>
      </c>
      <c r="J15" s="53">
        <f>SUM(Inc!W9:Y9)+I15</f>
        <v>17500</v>
      </c>
      <c r="K15" s="53">
        <f>SUM(Inc!Z9:AB9)+J15</f>
        <v>20000</v>
      </c>
      <c r="L15" s="53">
        <f>SUM(Inc!AC9:AE9)+K15</f>
        <v>22500</v>
      </c>
      <c r="M15" s="53">
        <f>SUM(Inc!AF9:AH9)+L15</f>
        <v>25000</v>
      </c>
      <c r="N15" s="53">
        <f>SUM(Inc!AI9:AK9)+M15</f>
        <v>27500</v>
      </c>
      <c r="O15" s="53">
        <f>SUM(Inc!AL9:AN9)+N15</f>
        <v>30000</v>
      </c>
      <c r="P15" s="53">
        <f>SUM(Inc!AO9:AQ9)+O15</f>
        <v>32500</v>
      </c>
      <c r="Q15" s="53">
        <f>SUM(Inc!AR9:AT9)+P15</f>
        <v>35000</v>
      </c>
      <c r="R15" s="53">
        <f>SUM(Inc!AU9:AW9)+Q15</f>
        <v>37500</v>
      </c>
      <c r="S15" s="53">
        <f>SUM(Inc!AX9:AZ9)+R15</f>
        <v>40000</v>
      </c>
      <c r="T15" s="53">
        <f>SUM(Inc!BA9:BC9)+S15</f>
        <v>42500</v>
      </c>
      <c r="U15" s="53">
        <f>SUM(Inc!BD9:BF9)+T15</f>
        <v>45000</v>
      </c>
      <c r="V15" s="53">
        <f>SUM(Inc!BG9:BI9)+U15</f>
        <v>47500</v>
      </c>
    </row>
    <row r="16" spans="1:63" ht="17">
      <c r="A16" s="3" t="s">
        <v>98</v>
      </c>
      <c r="B16" s="53">
        <f>B12-B15</f>
        <v>0</v>
      </c>
      <c r="C16" s="53">
        <f>C12-C15</f>
        <v>100000</v>
      </c>
      <c r="D16" s="53">
        <f t="shared" ref="D16:V16" si="2">D12-D15</f>
        <v>97500</v>
      </c>
      <c r="E16" s="53">
        <f t="shared" si="2"/>
        <v>95000</v>
      </c>
      <c r="F16" s="53">
        <f t="shared" si="2"/>
        <v>92500</v>
      </c>
      <c r="G16" s="53">
        <f t="shared" si="2"/>
        <v>90000</v>
      </c>
      <c r="H16" s="53">
        <f t="shared" si="2"/>
        <v>87500</v>
      </c>
      <c r="I16" s="53">
        <f t="shared" si="2"/>
        <v>85000</v>
      </c>
      <c r="J16" s="53">
        <f t="shared" si="2"/>
        <v>82500</v>
      </c>
      <c r="K16" s="53">
        <f t="shared" si="2"/>
        <v>80000</v>
      </c>
      <c r="L16" s="53">
        <f t="shared" si="2"/>
        <v>77500</v>
      </c>
      <c r="M16" s="53">
        <f t="shared" si="2"/>
        <v>75000</v>
      </c>
      <c r="N16" s="53">
        <f t="shared" si="2"/>
        <v>72500</v>
      </c>
      <c r="O16" s="53">
        <f t="shared" si="2"/>
        <v>70000</v>
      </c>
      <c r="P16" s="53">
        <f t="shared" si="2"/>
        <v>67500</v>
      </c>
      <c r="Q16" s="53">
        <f t="shared" si="2"/>
        <v>65000</v>
      </c>
      <c r="R16" s="53">
        <f t="shared" si="2"/>
        <v>62500</v>
      </c>
      <c r="S16" s="53">
        <f t="shared" si="2"/>
        <v>60000</v>
      </c>
      <c r="T16" s="53">
        <f t="shared" si="2"/>
        <v>57500</v>
      </c>
      <c r="U16" s="53">
        <f t="shared" si="2"/>
        <v>55000</v>
      </c>
      <c r="V16" s="53">
        <f t="shared" si="2"/>
        <v>52500</v>
      </c>
    </row>
    <row r="17" spans="1:22">
      <c r="B17" s="57"/>
      <c r="C17" s="58"/>
      <c r="D17" s="58"/>
      <c r="E17" s="58"/>
      <c r="F17" s="58"/>
      <c r="G17" s="58"/>
      <c r="H17" s="58"/>
      <c r="I17" s="58"/>
      <c r="J17" s="58"/>
      <c r="K17" s="58"/>
      <c r="L17" s="58"/>
      <c r="M17" s="58"/>
      <c r="N17" s="58"/>
      <c r="O17" s="58"/>
      <c r="P17" s="58"/>
      <c r="Q17" s="58"/>
      <c r="R17" s="58"/>
      <c r="S17" s="58"/>
      <c r="T17" s="58"/>
      <c r="U17" s="58"/>
      <c r="V17" s="58"/>
    </row>
    <row r="18" spans="1:22" ht="17">
      <c r="A18" s="3" t="s">
        <v>99</v>
      </c>
      <c r="B18" s="53">
        <f>B10+B16</f>
        <v>0</v>
      </c>
      <c r="C18" s="53">
        <f t="shared" ref="C18:V18" si="3">C10+C16</f>
        <v>98656.875</v>
      </c>
      <c r="D18" s="53">
        <f t="shared" si="3"/>
        <v>95781.625</v>
      </c>
      <c r="E18" s="53">
        <f t="shared" si="3"/>
        <v>93499.25</v>
      </c>
      <c r="F18" s="53">
        <f t="shared" si="3"/>
        <v>91809.75</v>
      </c>
      <c r="G18" s="53">
        <f t="shared" si="3"/>
        <v>90713.125</v>
      </c>
      <c r="H18" s="53">
        <f t="shared" si="3"/>
        <v>90209.375</v>
      </c>
      <c r="I18" s="53">
        <f t="shared" si="3"/>
        <v>90298.5</v>
      </c>
      <c r="J18" s="53">
        <f t="shared" si="3"/>
        <v>90980.5</v>
      </c>
      <c r="K18" s="53">
        <f t="shared" si="3"/>
        <v>92255.375</v>
      </c>
      <c r="L18" s="53">
        <f t="shared" si="3"/>
        <v>94123.125</v>
      </c>
      <c r="M18" s="53">
        <f t="shared" si="3"/>
        <v>96583.75</v>
      </c>
      <c r="N18" s="53">
        <f t="shared" si="3"/>
        <v>99637.25</v>
      </c>
      <c r="O18" s="53">
        <f t="shared" si="3"/>
        <v>103283.625</v>
      </c>
      <c r="P18" s="53">
        <f t="shared" si="3"/>
        <v>107522.875</v>
      </c>
      <c r="Q18" s="53">
        <f t="shared" si="3"/>
        <v>112355</v>
      </c>
      <c r="R18" s="53">
        <f t="shared" si="3"/>
        <v>117780</v>
      </c>
      <c r="S18" s="53">
        <f t="shared" si="3"/>
        <v>123797.875</v>
      </c>
      <c r="T18" s="53">
        <f t="shared" si="3"/>
        <v>130408.625</v>
      </c>
      <c r="U18" s="53">
        <f t="shared" si="3"/>
        <v>137612.25</v>
      </c>
      <c r="V18" s="53">
        <f t="shared" si="3"/>
        <v>145408.75</v>
      </c>
    </row>
    <row r="19" spans="1:22">
      <c r="B19" s="57"/>
      <c r="C19" s="58"/>
      <c r="D19" s="58"/>
      <c r="E19" s="58"/>
      <c r="F19" s="58"/>
      <c r="G19" s="58"/>
      <c r="H19" s="58"/>
      <c r="I19" s="58"/>
      <c r="J19" s="58"/>
      <c r="K19" s="58"/>
      <c r="L19" s="58"/>
      <c r="M19" s="58"/>
      <c r="N19" s="58"/>
      <c r="O19" s="58"/>
      <c r="P19" s="58"/>
      <c r="Q19" s="58"/>
      <c r="R19" s="58"/>
      <c r="S19" s="58"/>
      <c r="T19" s="58"/>
      <c r="U19" s="58"/>
      <c r="V19" s="58"/>
    </row>
    <row r="20" spans="1:22" ht="17">
      <c r="A20" s="3" t="s">
        <v>100</v>
      </c>
      <c r="B20" s="50">
        <v>0</v>
      </c>
      <c r="C20" s="53">
        <f>B20+SUM(Inc!B6:D6)*Para!$C30*4</f>
        <v>189</v>
      </c>
      <c r="D20" s="53">
        <f>SUM(Inc!E6:G6)*Para!$C30*4</f>
        <v>378</v>
      </c>
      <c r="E20" s="53">
        <f>SUM(Inc!H6:J6)*Para!$C30*4</f>
        <v>567</v>
      </c>
      <c r="F20" s="53">
        <f>SUM(Inc!K6:M6)*Para!$C30*4</f>
        <v>756</v>
      </c>
      <c r="G20" s="53">
        <f>SUM(Inc!N6:P6)*Para!$C30*4</f>
        <v>945</v>
      </c>
      <c r="H20" s="53">
        <f>SUM(Inc!Q6:S6)*Para!$C30*4</f>
        <v>1134</v>
      </c>
      <c r="I20" s="53">
        <f>SUM(Inc!T6:V6)*Para!$C30*4</f>
        <v>1323</v>
      </c>
      <c r="J20" s="53">
        <f>SUM(Inc!W6:Y6)*Para!$C30*4</f>
        <v>1512</v>
      </c>
      <c r="K20" s="53">
        <f>SUM(Inc!Z6:AB6)*Para!$C30*4</f>
        <v>1701</v>
      </c>
      <c r="L20" s="53">
        <f>SUM(Inc!AC6:AE6)*Para!$C30*4</f>
        <v>1890</v>
      </c>
      <c r="M20" s="53">
        <f>SUM(Inc!AF6:AH6)*Para!$C30*4</f>
        <v>2079</v>
      </c>
      <c r="N20" s="53">
        <f>SUM(Inc!AI6:AK6)*Para!$C30*4</f>
        <v>2268</v>
      </c>
      <c r="O20" s="53">
        <f>SUM(Inc!AL6:AN6)*Para!$C30*4</f>
        <v>2457</v>
      </c>
      <c r="P20" s="53">
        <f>SUM(Inc!AO6:AQ6)*Para!$C30*4</f>
        <v>2646</v>
      </c>
      <c r="Q20" s="53">
        <f>SUM(Inc!AR6:AT6)*Para!$C30*4</f>
        <v>2835</v>
      </c>
      <c r="R20" s="53">
        <f>SUM(Inc!AU6:AW6)*Para!$C30*4</f>
        <v>3024</v>
      </c>
      <c r="S20" s="53">
        <f>SUM(Inc!AX6:AZ6)*Para!$C30*4</f>
        <v>3213</v>
      </c>
      <c r="T20" s="53">
        <f>SUM(Inc!BA6:BC6)*Para!$C30*4</f>
        <v>3402</v>
      </c>
      <c r="U20" s="53">
        <f>SUM(Inc!BD6:BF6)*Para!$C30*4</f>
        <v>3591</v>
      </c>
      <c r="V20" s="53">
        <f>SUM(Inc!BG6:BI6)*Para!$C30*4</f>
        <v>3780</v>
      </c>
    </row>
    <row r="21" spans="1:22" ht="17">
      <c r="A21" s="3" t="s">
        <v>101</v>
      </c>
      <c r="B21" s="50">
        <v>0</v>
      </c>
      <c r="C21" s="50">
        <v>0</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row>
    <row r="22" spans="1:22">
      <c r="B22" s="57"/>
      <c r="C22" s="58"/>
      <c r="D22" s="58"/>
      <c r="E22" s="58"/>
      <c r="F22" s="58"/>
      <c r="G22" s="60"/>
      <c r="H22" s="58"/>
      <c r="I22" s="58"/>
      <c r="J22" s="58"/>
      <c r="K22" s="58"/>
      <c r="L22" s="58"/>
      <c r="M22" s="58"/>
      <c r="N22" s="58"/>
      <c r="O22" s="58"/>
      <c r="P22" s="58"/>
      <c r="Q22" s="58"/>
      <c r="R22" s="58"/>
      <c r="S22" s="58"/>
      <c r="T22" s="58"/>
      <c r="U22" s="58"/>
      <c r="V22" s="58"/>
    </row>
    <row r="23" spans="1:22" ht="17">
      <c r="A23" s="3" t="s">
        <v>102</v>
      </c>
      <c r="B23" s="53">
        <f t="shared" ref="B23:V23" si="4">SUM(B20:B21)</f>
        <v>0</v>
      </c>
      <c r="C23" s="53">
        <f t="shared" si="4"/>
        <v>189</v>
      </c>
      <c r="D23" s="53">
        <f t="shared" si="4"/>
        <v>378</v>
      </c>
      <c r="E23" s="53">
        <f t="shared" si="4"/>
        <v>567</v>
      </c>
      <c r="F23" s="53">
        <f t="shared" si="4"/>
        <v>756</v>
      </c>
      <c r="G23" s="53">
        <f t="shared" si="4"/>
        <v>945</v>
      </c>
      <c r="H23" s="53">
        <f t="shared" si="4"/>
        <v>1134</v>
      </c>
      <c r="I23" s="53">
        <f t="shared" si="4"/>
        <v>1323</v>
      </c>
      <c r="J23" s="53">
        <f t="shared" si="4"/>
        <v>1512</v>
      </c>
      <c r="K23" s="53">
        <f t="shared" si="4"/>
        <v>1701</v>
      </c>
      <c r="L23" s="53">
        <f t="shared" si="4"/>
        <v>1890</v>
      </c>
      <c r="M23" s="53">
        <f t="shared" si="4"/>
        <v>2079</v>
      </c>
      <c r="N23" s="53">
        <f t="shared" si="4"/>
        <v>2268</v>
      </c>
      <c r="O23" s="53">
        <f t="shared" si="4"/>
        <v>2457</v>
      </c>
      <c r="P23" s="53">
        <f t="shared" si="4"/>
        <v>2646</v>
      </c>
      <c r="Q23" s="53">
        <f t="shared" si="4"/>
        <v>2835</v>
      </c>
      <c r="R23" s="53">
        <f t="shared" si="4"/>
        <v>3024</v>
      </c>
      <c r="S23" s="53">
        <f t="shared" si="4"/>
        <v>3213</v>
      </c>
      <c r="T23" s="53">
        <f t="shared" si="4"/>
        <v>3402</v>
      </c>
      <c r="U23" s="53">
        <f t="shared" si="4"/>
        <v>3591</v>
      </c>
      <c r="V23" s="53">
        <f t="shared" si="4"/>
        <v>3780</v>
      </c>
    </row>
    <row r="24" spans="1:22">
      <c r="B24" s="57"/>
      <c r="C24" s="58"/>
      <c r="D24" s="58"/>
      <c r="E24" s="58"/>
      <c r="F24" s="58"/>
      <c r="G24" s="58"/>
      <c r="H24" s="58"/>
      <c r="I24" s="58"/>
      <c r="J24" s="58"/>
      <c r="K24" s="58"/>
      <c r="L24" s="58"/>
      <c r="M24" s="58"/>
      <c r="N24" s="58"/>
      <c r="O24" s="58"/>
      <c r="P24" s="58"/>
      <c r="Q24" s="58"/>
      <c r="R24" s="58"/>
      <c r="S24" s="58"/>
      <c r="T24" s="58"/>
      <c r="U24" s="58"/>
      <c r="V24" s="58"/>
    </row>
    <row r="25" spans="1:22" ht="17">
      <c r="A25" s="3" t="s">
        <v>103</v>
      </c>
      <c r="B25" s="50">
        <v>0</v>
      </c>
      <c r="C25" s="53">
        <f>B25+SUMIF(Para!$N18:$N21,1,Para!$M18:$M21)</f>
        <v>100000</v>
      </c>
      <c r="D25" s="53">
        <f>C25+SUMIF(Para!$N18:$N21,2,Para!$M18:$M21)</f>
        <v>100000</v>
      </c>
      <c r="E25" s="53">
        <f>D25+SUMIF(Para!$N18:$N21,3,Para!$M18:$M21)</f>
        <v>100000</v>
      </c>
      <c r="F25" s="53">
        <f>E25+SUMIF(Para!$N18:$N21,4,Para!$M18:$M21)</f>
        <v>100000</v>
      </c>
      <c r="G25" s="53">
        <f>F25+SUMIF(Para!$N18:$N21,5,Para!$M18:$M21)</f>
        <v>100000</v>
      </c>
      <c r="H25" s="53">
        <f>G25+SUMIF(Para!$N18:$N21,6,Para!$M18:$M21)</f>
        <v>100000</v>
      </c>
      <c r="I25" s="53">
        <f>H25+SUMIF(Para!$N18:$N21,7,Para!$M18:$M21)</f>
        <v>100000</v>
      </c>
      <c r="J25" s="53">
        <f>I25+SUMIF(Para!$N18:$N21,8,Para!$M18:$M21)</f>
        <v>100000</v>
      </c>
      <c r="K25" s="53">
        <f>J25+SUMIF(Para!$N18:$N21,9,Para!$M18:$M21)</f>
        <v>100000</v>
      </c>
      <c r="L25" s="53">
        <f>K25+SUMIF(Para!$N18:$N21,10,Para!$M18:$M21)</f>
        <v>100000</v>
      </c>
      <c r="M25" s="53">
        <f>L25+SUMIF(Para!$N18:$N21,11,Para!$M18:$M21)</f>
        <v>100000</v>
      </c>
      <c r="N25" s="53">
        <f>M25+SUMIF(Para!$N18:$N21,12,Para!$M18:$M21)</f>
        <v>100000</v>
      </c>
      <c r="O25" s="53">
        <f>N25+SUMIF(Para!$N18:$N21,13,Para!$M18:$M21)</f>
        <v>100000</v>
      </c>
      <c r="P25" s="53">
        <f>O25+SUMIF(Para!$N18:$N21,14,Para!$M18:$M21)</f>
        <v>100000</v>
      </c>
      <c r="Q25" s="53">
        <f>P25+SUMIF(Para!$N18:$N21,15,Para!$M18:$M21)</f>
        <v>100000</v>
      </c>
      <c r="R25" s="53">
        <f>Q25+SUMIF(Para!$N18:$N21,16,Para!$M18:$M21)</f>
        <v>100000</v>
      </c>
      <c r="S25" s="53">
        <f>R25+SUMIF(Para!$N18:$N21,17,Para!$M18:$M21)</f>
        <v>100000</v>
      </c>
      <c r="T25" s="53">
        <f>S25+SUMIF(Para!$N18:$N21,18,Para!$M18:$M21)</f>
        <v>100000</v>
      </c>
      <c r="U25" s="53">
        <f>T25+SUMIF(Para!$N18:$N21,19,Para!$M18:$M21)</f>
        <v>100000</v>
      </c>
      <c r="V25" s="53">
        <f>U25+SUMIF(Para!$N18:$N21,20,Para!$M18:$M21)</f>
        <v>100000</v>
      </c>
    </row>
    <row r="26" spans="1:22" ht="17">
      <c r="A26" s="3" t="s">
        <v>104</v>
      </c>
      <c r="B26" s="50">
        <v>0</v>
      </c>
      <c r="C26" s="50">
        <v>0</v>
      </c>
      <c r="D26" s="53">
        <f>C26</f>
        <v>0</v>
      </c>
      <c r="E26" s="53">
        <f t="shared" ref="E26:V26" si="5">D26</f>
        <v>0</v>
      </c>
      <c r="F26" s="53">
        <f t="shared" si="5"/>
        <v>0</v>
      </c>
      <c r="G26" s="53">
        <f t="shared" si="5"/>
        <v>0</v>
      </c>
      <c r="H26" s="53">
        <f t="shared" si="5"/>
        <v>0</v>
      </c>
      <c r="I26" s="53">
        <f t="shared" si="5"/>
        <v>0</v>
      </c>
      <c r="J26" s="53">
        <f t="shared" si="5"/>
        <v>0</v>
      </c>
      <c r="K26" s="53">
        <f t="shared" si="5"/>
        <v>0</v>
      </c>
      <c r="L26" s="53">
        <f t="shared" si="5"/>
        <v>0</v>
      </c>
      <c r="M26" s="53">
        <f t="shared" si="5"/>
        <v>0</v>
      </c>
      <c r="N26" s="53">
        <f t="shared" si="5"/>
        <v>0</v>
      </c>
      <c r="O26" s="53">
        <f t="shared" si="5"/>
        <v>0</v>
      </c>
      <c r="P26" s="53">
        <f t="shared" si="5"/>
        <v>0</v>
      </c>
      <c r="Q26" s="53">
        <f t="shared" si="5"/>
        <v>0</v>
      </c>
      <c r="R26" s="53">
        <f t="shared" si="5"/>
        <v>0</v>
      </c>
      <c r="S26" s="53">
        <f t="shared" si="5"/>
        <v>0</v>
      </c>
      <c r="T26" s="53">
        <f t="shared" si="5"/>
        <v>0</v>
      </c>
      <c r="U26" s="53">
        <f t="shared" si="5"/>
        <v>0</v>
      </c>
      <c r="V26" s="53">
        <f t="shared" si="5"/>
        <v>0</v>
      </c>
    </row>
    <row r="27" spans="1:22">
      <c r="B27" s="57"/>
      <c r="C27" s="58"/>
      <c r="D27" s="58"/>
      <c r="E27" s="58"/>
      <c r="F27" s="58"/>
      <c r="G27" s="58"/>
      <c r="H27" s="58"/>
      <c r="I27" s="58"/>
      <c r="J27" s="58"/>
      <c r="K27" s="58"/>
      <c r="L27" s="58"/>
      <c r="M27" s="58"/>
      <c r="N27" s="58"/>
      <c r="O27" s="58"/>
      <c r="P27" s="58"/>
      <c r="Q27" s="58"/>
      <c r="R27" s="58"/>
      <c r="S27" s="58"/>
      <c r="T27" s="58"/>
      <c r="U27" s="58"/>
      <c r="V27" s="58"/>
    </row>
    <row r="28" spans="1:22" ht="17">
      <c r="A28" s="3" t="s">
        <v>105</v>
      </c>
      <c r="B28" s="53">
        <f>SUM(B23:B26)</f>
        <v>0</v>
      </c>
      <c r="C28" s="53">
        <f t="shared" ref="C28:V28" si="6">SUM(C23:C26)</f>
        <v>100189</v>
      </c>
      <c r="D28" s="53">
        <f t="shared" si="6"/>
        <v>100378</v>
      </c>
      <c r="E28" s="53">
        <f t="shared" si="6"/>
        <v>100567</v>
      </c>
      <c r="F28" s="53">
        <f t="shared" si="6"/>
        <v>100756</v>
      </c>
      <c r="G28" s="53">
        <f t="shared" si="6"/>
        <v>100945</v>
      </c>
      <c r="H28" s="53">
        <f t="shared" si="6"/>
        <v>101134</v>
      </c>
      <c r="I28" s="53">
        <f t="shared" si="6"/>
        <v>101323</v>
      </c>
      <c r="J28" s="53">
        <f t="shared" si="6"/>
        <v>101512</v>
      </c>
      <c r="K28" s="53">
        <f t="shared" si="6"/>
        <v>101701</v>
      </c>
      <c r="L28" s="53">
        <f t="shared" si="6"/>
        <v>101890</v>
      </c>
      <c r="M28" s="53">
        <f t="shared" si="6"/>
        <v>102079</v>
      </c>
      <c r="N28" s="53">
        <f t="shared" si="6"/>
        <v>102268</v>
      </c>
      <c r="O28" s="53">
        <f t="shared" si="6"/>
        <v>102457</v>
      </c>
      <c r="P28" s="53">
        <f t="shared" si="6"/>
        <v>102646</v>
      </c>
      <c r="Q28" s="53">
        <f t="shared" si="6"/>
        <v>102835</v>
      </c>
      <c r="R28" s="53">
        <f t="shared" si="6"/>
        <v>103024</v>
      </c>
      <c r="S28" s="53">
        <f t="shared" si="6"/>
        <v>103213</v>
      </c>
      <c r="T28" s="53">
        <f t="shared" si="6"/>
        <v>103402</v>
      </c>
      <c r="U28" s="53">
        <f t="shared" si="6"/>
        <v>103591</v>
      </c>
      <c r="V28" s="53">
        <f t="shared" si="6"/>
        <v>103780</v>
      </c>
    </row>
    <row r="29" spans="1:22">
      <c r="B29" s="57"/>
      <c r="C29" s="58"/>
      <c r="D29" s="58"/>
      <c r="E29" s="58"/>
      <c r="F29" s="58"/>
      <c r="G29" s="58"/>
      <c r="H29" s="58"/>
      <c r="I29" s="58"/>
      <c r="J29" s="58"/>
      <c r="K29" s="58"/>
      <c r="L29" s="58"/>
      <c r="M29" s="58"/>
      <c r="N29" s="58"/>
      <c r="O29" s="58"/>
      <c r="P29" s="58"/>
      <c r="Q29" s="58"/>
      <c r="R29" s="58"/>
      <c r="S29" s="58"/>
      <c r="T29" s="58"/>
      <c r="U29" s="58"/>
      <c r="V29" s="58"/>
    </row>
    <row r="30" spans="1:22" ht="17">
      <c r="A30" s="3" t="s">
        <v>106</v>
      </c>
      <c r="B30" s="50">
        <v>0</v>
      </c>
      <c r="C30" s="50">
        <v>0</v>
      </c>
      <c r="D30" s="53">
        <f>C30</f>
        <v>0</v>
      </c>
      <c r="E30" s="53">
        <f t="shared" ref="E30:V30" si="7">D30</f>
        <v>0</v>
      </c>
      <c r="F30" s="53">
        <f t="shared" si="7"/>
        <v>0</v>
      </c>
      <c r="G30" s="53">
        <f t="shared" si="7"/>
        <v>0</v>
      </c>
      <c r="H30" s="53">
        <f t="shared" si="7"/>
        <v>0</v>
      </c>
      <c r="I30" s="53">
        <f t="shared" si="7"/>
        <v>0</v>
      </c>
      <c r="J30" s="53">
        <f t="shared" si="7"/>
        <v>0</v>
      </c>
      <c r="K30" s="53">
        <f t="shared" si="7"/>
        <v>0</v>
      </c>
      <c r="L30" s="53">
        <f t="shared" si="7"/>
        <v>0</v>
      </c>
      <c r="M30" s="53">
        <f t="shared" si="7"/>
        <v>0</v>
      </c>
      <c r="N30" s="53">
        <f t="shared" si="7"/>
        <v>0</v>
      </c>
      <c r="O30" s="53">
        <f t="shared" si="7"/>
        <v>0</v>
      </c>
      <c r="P30" s="53">
        <f t="shared" si="7"/>
        <v>0</v>
      </c>
      <c r="Q30" s="53">
        <f t="shared" si="7"/>
        <v>0</v>
      </c>
      <c r="R30" s="53">
        <f t="shared" si="7"/>
        <v>0</v>
      </c>
      <c r="S30" s="53">
        <f t="shared" si="7"/>
        <v>0</v>
      </c>
      <c r="T30" s="53">
        <f t="shared" si="7"/>
        <v>0</v>
      </c>
      <c r="U30" s="53">
        <f t="shared" si="7"/>
        <v>0</v>
      </c>
      <c r="V30" s="53">
        <f t="shared" si="7"/>
        <v>0</v>
      </c>
    </row>
    <row r="31" spans="1:22" ht="17">
      <c r="A31" s="3" t="s">
        <v>109</v>
      </c>
      <c r="B31" s="50">
        <v>0</v>
      </c>
      <c r="C31" s="53">
        <f>B31+Inc!B40</f>
        <v>-1532.125</v>
      </c>
      <c r="D31" s="53">
        <f>Inc!C40+C31</f>
        <v>-4596.3750000000009</v>
      </c>
      <c r="E31" s="53">
        <f>Inc!D40+D31</f>
        <v>-7067.7500000000018</v>
      </c>
      <c r="F31" s="53">
        <f>Inc!E40+E31</f>
        <v>-8946.2500000000018</v>
      </c>
      <c r="G31" s="53">
        <f>Inc!F40+F31</f>
        <v>-10231.875000000002</v>
      </c>
      <c r="H31" s="53">
        <f>Inc!G40+G31</f>
        <v>-10924.625000000002</v>
      </c>
      <c r="I31" s="53">
        <f>Inc!H40+H31</f>
        <v>-11024.500000000002</v>
      </c>
      <c r="J31" s="53">
        <f>Inc!I40+I31</f>
        <v>-10531.500000000002</v>
      </c>
      <c r="K31" s="53">
        <f>Inc!J40+J31</f>
        <v>-9445.6250000000018</v>
      </c>
      <c r="L31" s="53">
        <f>Inc!K40+K31</f>
        <v>-7766.8750000000018</v>
      </c>
      <c r="M31" s="53">
        <f>Inc!L40+L31</f>
        <v>-5495.2500000000018</v>
      </c>
      <c r="N31" s="53">
        <f>Inc!M40+M31</f>
        <v>-2630.7500000000014</v>
      </c>
      <c r="O31" s="53">
        <f>Inc!N40+N31</f>
        <v>826.62499999999909</v>
      </c>
      <c r="P31" s="53">
        <f>Inc!O40+O31</f>
        <v>4876.875</v>
      </c>
      <c r="Q31" s="53">
        <f>Inc!P40+P31</f>
        <v>9520</v>
      </c>
      <c r="R31" s="53">
        <f>Inc!Q40+Q31</f>
        <v>14756</v>
      </c>
      <c r="S31" s="53">
        <f>Inc!R40+R31</f>
        <v>20584.875</v>
      </c>
      <c r="T31" s="53">
        <f>Inc!S40+S31</f>
        <v>27006.625</v>
      </c>
      <c r="U31" s="53">
        <f>Inc!T40+T31</f>
        <v>34021.25</v>
      </c>
      <c r="V31" s="53">
        <f>Inc!U40+U31</f>
        <v>41628.75</v>
      </c>
    </row>
    <row r="32" spans="1:22">
      <c r="B32" s="57"/>
      <c r="C32" s="58"/>
      <c r="D32" s="58"/>
      <c r="E32" s="58"/>
      <c r="F32" s="58"/>
      <c r="G32" s="58"/>
      <c r="H32" s="58"/>
      <c r="I32" s="58"/>
      <c r="J32" s="58"/>
      <c r="K32" s="58"/>
      <c r="L32" s="58"/>
      <c r="M32" s="58"/>
      <c r="N32" s="58"/>
      <c r="O32" s="58"/>
      <c r="P32" s="58"/>
      <c r="Q32" s="58"/>
      <c r="R32" s="58"/>
      <c r="S32" s="58"/>
      <c r="T32" s="58"/>
      <c r="U32" s="58"/>
      <c r="V32" s="58"/>
    </row>
    <row r="33" spans="1:22" ht="17">
      <c r="A33" s="3" t="s">
        <v>107</v>
      </c>
      <c r="B33" s="53">
        <f>SUM(B30:B31)</f>
        <v>0</v>
      </c>
      <c r="C33" s="53">
        <f>SUM(C30:C31)</f>
        <v>-1532.125</v>
      </c>
      <c r="D33" s="53">
        <f>SUM(D30:D31)</f>
        <v>-4596.3750000000009</v>
      </c>
      <c r="E33" s="53">
        <f>SUM(E30:E31)</f>
        <v>-7067.7500000000018</v>
      </c>
      <c r="F33" s="53">
        <f t="shared" ref="F33:V33" si="8">SUM(F30:F31)</f>
        <v>-8946.2500000000018</v>
      </c>
      <c r="G33" s="53">
        <f t="shared" si="8"/>
        <v>-10231.875000000002</v>
      </c>
      <c r="H33" s="53">
        <f t="shared" si="8"/>
        <v>-10924.625000000002</v>
      </c>
      <c r="I33" s="53">
        <f t="shared" si="8"/>
        <v>-11024.500000000002</v>
      </c>
      <c r="J33" s="53">
        <f t="shared" si="8"/>
        <v>-10531.500000000002</v>
      </c>
      <c r="K33" s="53">
        <f t="shared" si="8"/>
        <v>-9445.6250000000018</v>
      </c>
      <c r="L33" s="53">
        <f t="shared" si="8"/>
        <v>-7766.8750000000018</v>
      </c>
      <c r="M33" s="53">
        <f t="shared" si="8"/>
        <v>-5495.2500000000018</v>
      </c>
      <c r="N33" s="53">
        <f t="shared" si="8"/>
        <v>-2630.7500000000014</v>
      </c>
      <c r="O33" s="53">
        <f t="shared" si="8"/>
        <v>826.62499999999909</v>
      </c>
      <c r="P33" s="53">
        <f t="shared" si="8"/>
        <v>4876.875</v>
      </c>
      <c r="Q33" s="53">
        <f t="shared" si="8"/>
        <v>9520</v>
      </c>
      <c r="R33" s="53">
        <f t="shared" si="8"/>
        <v>14756</v>
      </c>
      <c r="S33" s="53">
        <f t="shared" si="8"/>
        <v>20584.875</v>
      </c>
      <c r="T33" s="53">
        <f t="shared" si="8"/>
        <v>27006.625</v>
      </c>
      <c r="U33" s="53">
        <f t="shared" si="8"/>
        <v>34021.25</v>
      </c>
      <c r="V33" s="53">
        <f t="shared" si="8"/>
        <v>41628.75</v>
      </c>
    </row>
    <row r="34" spans="1:22">
      <c r="B34" s="57"/>
      <c r="C34" s="58"/>
      <c r="D34" s="58"/>
      <c r="E34" s="58"/>
      <c r="F34" s="58"/>
      <c r="G34" s="58"/>
      <c r="H34" s="58"/>
      <c r="I34" s="58"/>
      <c r="J34" s="58"/>
      <c r="K34" s="58"/>
      <c r="L34" s="58"/>
      <c r="M34" s="58"/>
      <c r="N34" s="58"/>
      <c r="O34" s="58"/>
      <c r="P34" s="58"/>
      <c r="Q34" s="58"/>
      <c r="R34" s="58"/>
      <c r="S34" s="58"/>
      <c r="T34" s="58"/>
      <c r="U34" s="58"/>
      <c r="V34" s="58"/>
    </row>
    <row r="35" spans="1:22" ht="17">
      <c r="A35" s="3" t="s">
        <v>108</v>
      </c>
      <c r="B35" s="53">
        <f>B28+B33</f>
        <v>0</v>
      </c>
      <c r="C35" s="53">
        <f>C28+C33</f>
        <v>98656.875</v>
      </c>
      <c r="D35" s="53">
        <f>D28+D33</f>
        <v>95781.625</v>
      </c>
      <c r="E35" s="53">
        <f>E28+E33</f>
        <v>93499.25</v>
      </c>
      <c r="F35" s="53">
        <f t="shared" ref="F35:V35" si="9">F28+F33</f>
        <v>91809.75</v>
      </c>
      <c r="G35" s="53">
        <f t="shared" si="9"/>
        <v>90713.125</v>
      </c>
      <c r="H35" s="53">
        <f t="shared" si="9"/>
        <v>90209.375</v>
      </c>
      <c r="I35" s="53">
        <f t="shared" si="9"/>
        <v>90298.5</v>
      </c>
      <c r="J35" s="53">
        <f t="shared" si="9"/>
        <v>90980.5</v>
      </c>
      <c r="K35" s="53">
        <f t="shared" si="9"/>
        <v>92255.375</v>
      </c>
      <c r="L35" s="53">
        <f t="shared" si="9"/>
        <v>94123.125</v>
      </c>
      <c r="M35" s="53">
        <f t="shared" si="9"/>
        <v>96583.75</v>
      </c>
      <c r="N35" s="53">
        <f t="shared" si="9"/>
        <v>99637.25</v>
      </c>
      <c r="O35" s="53">
        <f t="shared" si="9"/>
        <v>103283.625</v>
      </c>
      <c r="P35" s="53">
        <f t="shared" si="9"/>
        <v>107522.875</v>
      </c>
      <c r="Q35" s="53">
        <f t="shared" si="9"/>
        <v>112355</v>
      </c>
      <c r="R35" s="53">
        <f t="shared" si="9"/>
        <v>117780</v>
      </c>
      <c r="S35" s="53">
        <f t="shared" si="9"/>
        <v>123797.875</v>
      </c>
      <c r="T35" s="53">
        <f t="shared" si="9"/>
        <v>130408.625</v>
      </c>
      <c r="U35" s="53">
        <f t="shared" si="9"/>
        <v>137612.25</v>
      </c>
      <c r="V35" s="53">
        <f t="shared" si="9"/>
        <v>145408.75</v>
      </c>
    </row>
    <row r="37" spans="1:22" ht="17">
      <c r="B37" s="49" t="str">
        <f>B2</f>
        <v>Prior</v>
      </c>
      <c r="C37" s="49">
        <f>Vol!B2</f>
        <v>2018</v>
      </c>
      <c r="D37" s="49">
        <f>C37+1</f>
        <v>2019</v>
      </c>
      <c r="E37" s="49">
        <f>D37+1</f>
        <v>2020</v>
      </c>
      <c r="F37" s="49">
        <f>E37+1</f>
        <v>2021</v>
      </c>
      <c r="G37" s="49">
        <f>F37+1</f>
        <v>2022</v>
      </c>
    </row>
    <row r="38" spans="1:22" ht="17">
      <c r="A38" s="3" t="str">
        <f t="shared" ref="A38:B41" si="10">A5</f>
        <v>Cash</v>
      </c>
      <c r="B38" s="53">
        <f t="shared" si="10"/>
        <v>0</v>
      </c>
      <c r="C38" s="53">
        <f>F5</f>
        <v>-6977.0499999999993</v>
      </c>
      <c r="D38" s="53">
        <f>J5</f>
        <v>-2893.1000000000017</v>
      </c>
      <c r="E38" s="53">
        <f>N5</f>
        <v>10676.849999999999</v>
      </c>
      <c r="F38" s="53">
        <f>R5</f>
        <v>33732.799999999996</v>
      </c>
      <c r="G38" s="53">
        <f>V5</f>
        <v>66274.75</v>
      </c>
    </row>
    <row r="39" spans="1:22" ht="17">
      <c r="A39" s="3" t="str">
        <f t="shared" si="10"/>
        <v>Accounts Receivable</v>
      </c>
      <c r="B39" s="53">
        <f t="shared" si="10"/>
        <v>0</v>
      </c>
      <c r="C39" s="53">
        <f>F6</f>
        <v>3402</v>
      </c>
      <c r="D39" s="53">
        <f>J6</f>
        <v>6804</v>
      </c>
      <c r="E39" s="53">
        <f>N6</f>
        <v>10206</v>
      </c>
      <c r="F39" s="53">
        <f>R6</f>
        <v>13608</v>
      </c>
      <c r="G39" s="53">
        <f>V6</f>
        <v>17010</v>
      </c>
    </row>
    <row r="40" spans="1:22" ht="17">
      <c r="A40" s="3" t="str">
        <f t="shared" si="10"/>
        <v>Inventories</v>
      </c>
      <c r="B40" s="53">
        <f t="shared" si="10"/>
        <v>0</v>
      </c>
      <c r="C40" s="53">
        <f>F7</f>
        <v>2884.7999999999997</v>
      </c>
      <c r="D40" s="53">
        <f>J7</f>
        <v>4569.5999999999995</v>
      </c>
      <c r="E40" s="53">
        <f>N7</f>
        <v>6254.4</v>
      </c>
      <c r="F40" s="53">
        <f>R7</f>
        <v>7939.2</v>
      </c>
      <c r="G40" s="53">
        <f>V7</f>
        <v>9624</v>
      </c>
    </row>
    <row r="41" spans="1:22" ht="17">
      <c r="A41" s="3" t="str">
        <f t="shared" si="10"/>
        <v>Other Current</v>
      </c>
      <c r="B41" s="53">
        <f t="shared" si="10"/>
        <v>0</v>
      </c>
      <c r="C41" s="53">
        <f>F8</f>
        <v>0</v>
      </c>
      <c r="D41" s="53">
        <f>J8</f>
        <v>0</v>
      </c>
      <c r="E41" s="53">
        <f>N8</f>
        <v>0</v>
      </c>
      <c r="F41" s="53">
        <f>R8</f>
        <v>0</v>
      </c>
      <c r="G41" s="53">
        <f>V8</f>
        <v>0</v>
      </c>
    </row>
    <row r="42" spans="1:22">
      <c r="A42" s="58"/>
      <c r="B42" s="58"/>
      <c r="C42" s="58"/>
      <c r="D42" s="58"/>
      <c r="E42" s="58"/>
      <c r="F42" s="58"/>
      <c r="G42" s="58"/>
    </row>
    <row r="43" spans="1:22" ht="17">
      <c r="A43" s="3" t="str">
        <f>A10</f>
        <v>Total Current</v>
      </c>
      <c r="B43" s="53">
        <f t="shared" ref="B43:G43" si="11">SUM(B38:B41)</f>
        <v>0</v>
      </c>
      <c r="C43" s="53">
        <f t="shared" si="11"/>
        <v>-690.24999999999955</v>
      </c>
      <c r="D43" s="53">
        <f t="shared" si="11"/>
        <v>8480.4999999999982</v>
      </c>
      <c r="E43" s="53">
        <f t="shared" si="11"/>
        <v>27137.25</v>
      </c>
      <c r="F43" s="53">
        <f t="shared" si="11"/>
        <v>55279.999999999993</v>
      </c>
      <c r="G43" s="53">
        <f t="shared" si="11"/>
        <v>92908.75</v>
      </c>
    </row>
    <row r="44" spans="1:22">
      <c r="A44" s="58"/>
      <c r="B44" s="58"/>
      <c r="C44" s="58"/>
      <c r="D44" s="58"/>
      <c r="E44" s="58"/>
      <c r="F44" s="58"/>
      <c r="G44" s="58"/>
    </row>
    <row r="45" spans="1:22" ht="17">
      <c r="A45" s="3" t="str">
        <f>A12</f>
        <v>Fixed Assets</v>
      </c>
      <c r="B45" s="53">
        <f>B12</f>
        <v>0</v>
      </c>
      <c r="C45" s="53">
        <f>F12</f>
        <v>100000</v>
      </c>
      <c r="D45" s="53">
        <f>J12</f>
        <v>100000</v>
      </c>
      <c r="E45" s="53">
        <f>N12</f>
        <v>100000</v>
      </c>
      <c r="F45" s="53">
        <f>R12</f>
        <v>100000</v>
      </c>
      <c r="G45" s="53">
        <f>V12</f>
        <v>100000</v>
      </c>
    </row>
    <row r="46" spans="1:22" ht="17">
      <c r="A46" s="3" t="str">
        <f>A15</f>
        <v>Less: Accum Deprec</v>
      </c>
      <c r="B46" s="53">
        <f>B15</f>
        <v>0</v>
      </c>
      <c r="C46" s="53">
        <f>F15</f>
        <v>7500</v>
      </c>
      <c r="D46" s="53">
        <f>J15</f>
        <v>17500</v>
      </c>
      <c r="E46" s="53">
        <f>N15</f>
        <v>27500</v>
      </c>
      <c r="F46" s="53">
        <f>R15</f>
        <v>37500</v>
      </c>
      <c r="G46" s="53">
        <f>V15</f>
        <v>47500</v>
      </c>
    </row>
    <row r="47" spans="1:22" ht="17">
      <c r="A47" s="3" t="str">
        <f>A16</f>
        <v>Net Fixed Assets</v>
      </c>
      <c r="B47" s="53">
        <f t="shared" ref="B47:G47" si="12">B45-B46</f>
        <v>0</v>
      </c>
      <c r="C47" s="53">
        <f t="shared" si="12"/>
        <v>92500</v>
      </c>
      <c r="D47" s="53">
        <f t="shared" si="12"/>
        <v>82500</v>
      </c>
      <c r="E47" s="53">
        <f t="shared" si="12"/>
        <v>72500</v>
      </c>
      <c r="F47" s="53">
        <f t="shared" si="12"/>
        <v>62500</v>
      </c>
      <c r="G47" s="53">
        <f t="shared" si="12"/>
        <v>52500</v>
      </c>
    </row>
    <row r="48" spans="1:22">
      <c r="A48" s="58"/>
      <c r="B48" s="58"/>
      <c r="C48" s="58"/>
      <c r="D48" s="58"/>
      <c r="E48" s="58"/>
      <c r="F48" s="58"/>
      <c r="G48" s="58"/>
    </row>
    <row r="49" spans="1:7" ht="17">
      <c r="A49" s="3" t="str">
        <f>A18</f>
        <v>Total Assets</v>
      </c>
      <c r="B49" s="53">
        <f t="shared" ref="B49:G49" si="13">B43+B47</f>
        <v>0</v>
      </c>
      <c r="C49" s="53">
        <f t="shared" si="13"/>
        <v>91809.75</v>
      </c>
      <c r="D49" s="53">
        <f t="shared" si="13"/>
        <v>90980.5</v>
      </c>
      <c r="E49" s="53">
        <f t="shared" si="13"/>
        <v>99637.25</v>
      </c>
      <c r="F49" s="53">
        <f t="shared" si="13"/>
        <v>117780</v>
      </c>
      <c r="G49" s="53">
        <f t="shared" si="13"/>
        <v>145408.75</v>
      </c>
    </row>
    <row r="50" spans="1:7">
      <c r="A50" s="58"/>
      <c r="B50" s="58"/>
      <c r="C50" s="58"/>
      <c r="D50" s="58"/>
      <c r="E50" s="58"/>
      <c r="F50" s="58"/>
      <c r="G50" s="58"/>
    </row>
    <row r="51" spans="1:7" ht="17">
      <c r="A51" s="3" t="str">
        <f>A20</f>
        <v>Accounts Payable</v>
      </c>
      <c r="B51" s="53">
        <f>B20</f>
        <v>0</v>
      </c>
      <c r="C51" s="53">
        <f>F20</f>
        <v>756</v>
      </c>
      <c r="D51" s="53">
        <f>J20</f>
        <v>1512</v>
      </c>
      <c r="E51" s="53">
        <f>N20</f>
        <v>2268</v>
      </c>
      <c r="F51" s="53">
        <f>R20</f>
        <v>3024</v>
      </c>
      <c r="G51" s="53">
        <f>V20</f>
        <v>3780</v>
      </c>
    </row>
    <row r="52" spans="1:7" ht="17">
      <c r="A52" s="3" t="str">
        <f>A21</f>
        <v>Other Current Lia</v>
      </c>
      <c r="B52" s="53">
        <f>B21</f>
        <v>0</v>
      </c>
      <c r="C52" s="53">
        <f>F21</f>
        <v>0</v>
      </c>
      <c r="D52" s="53">
        <f>J21</f>
        <v>0</v>
      </c>
      <c r="E52" s="53">
        <f>N21</f>
        <v>0</v>
      </c>
      <c r="F52" s="53">
        <f>R21</f>
        <v>0</v>
      </c>
      <c r="G52" s="53">
        <f>V21</f>
        <v>0</v>
      </c>
    </row>
    <row r="53" spans="1:7">
      <c r="A53" s="58"/>
      <c r="B53" s="58"/>
      <c r="C53" s="58"/>
      <c r="D53" s="58"/>
      <c r="E53" s="58"/>
      <c r="F53" s="58"/>
      <c r="G53" s="58"/>
    </row>
    <row r="54" spans="1:7" ht="17">
      <c r="A54" s="3" t="str">
        <f>A23</f>
        <v>Total Current Lia</v>
      </c>
      <c r="B54" s="53">
        <f t="shared" ref="B54:G54" si="14">SUM(B51:B52)</f>
        <v>0</v>
      </c>
      <c r="C54" s="53">
        <f t="shared" si="14"/>
        <v>756</v>
      </c>
      <c r="D54" s="53">
        <f t="shared" si="14"/>
        <v>1512</v>
      </c>
      <c r="E54" s="53">
        <f t="shared" si="14"/>
        <v>2268</v>
      </c>
      <c r="F54" s="53">
        <f t="shared" si="14"/>
        <v>3024</v>
      </c>
      <c r="G54" s="53">
        <f t="shared" si="14"/>
        <v>3780</v>
      </c>
    </row>
    <row r="55" spans="1:7">
      <c r="A55" s="58"/>
      <c r="B55" s="58"/>
      <c r="C55" s="58"/>
      <c r="D55" s="58"/>
      <c r="E55" s="58"/>
      <c r="F55" s="58"/>
      <c r="G55" s="58"/>
    </row>
    <row r="56" spans="1:7" ht="17">
      <c r="A56" s="3" t="str">
        <f>A25</f>
        <v>Notes Payable</v>
      </c>
      <c r="B56" s="53">
        <f>B25</f>
        <v>0</v>
      </c>
      <c r="C56" s="53">
        <f>F25</f>
        <v>100000</v>
      </c>
      <c r="D56" s="53">
        <f>J25</f>
        <v>100000</v>
      </c>
      <c r="E56" s="53">
        <f>N25</f>
        <v>100000</v>
      </c>
      <c r="F56" s="53">
        <f>R25</f>
        <v>100000</v>
      </c>
      <c r="G56" s="53">
        <f>V25</f>
        <v>100000</v>
      </c>
    </row>
    <row r="57" spans="1:7" ht="17">
      <c r="A57" s="3" t="str">
        <f>A26</f>
        <v>Other Long Term</v>
      </c>
      <c r="B57" s="53">
        <f>B26</f>
        <v>0</v>
      </c>
      <c r="C57" s="53">
        <f>F26</f>
        <v>0</v>
      </c>
      <c r="D57" s="53">
        <f>J26</f>
        <v>0</v>
      </c>
      <c r="E57" s="53">
        <f>N26</f>
        <v>0</v>
      </c>
      <c r="F57" s="53">
        <f>R26</f>
        <v>0</v>
      </c>
      <c r="G57" s="53">
        <f>V26</f>
        <v>0</v>
      </c>
    </row>
    <row r="58" spans="1:7">
      <c r="A58" s="58"/>
      <c r="B58" s="58"/>
      <c r="C58" s="58"/>
      <c r="D58" s="58"/>
      <c r="E58" s="58"/>
      <c r="F58" s="58"/>
      <c r="G58" s="58"/>
    </row>
    <row r="59" spans="1:7" ht="17">
      <c r="A59" s="3" t="str">
        <f>A28</f>
        <v>Total Liabilities</v>
      </c>
      <c r="B59" s="53">
        <f t="shared" ref="B59" si="15">SUM(B56:B57)</f>
        <v>0</v>
      </c>
      <c r="C59" s="53">
        <f>SUM(C54:C57)</f>
        <v>100756</v>
      </c>
      <c r="D59" s="53">
        <f t="shared" ref="D59:G59" si="16">SUM(D54:D57)</f>
        <v>101512</v>
      </c>
      <c r="E59" s="53">
        <f t="shared" si="16"/>
        <v>102268</v>
      </c>
      <c r="F59" s="53">
        <f t="shared" si="16"/>
        <v>103024</v>
      </c>
      <c r="G59" s="53">
        <f t="shared" si="16"/>
        <v>103780</v>
      </c>
    </row>
    <row r="60" spans="1:7">
      <c r="A60" s="58"/>
      <c r="B60" s="58"/>
      <c r="C60" s="58"/>
      <c r="D60" s="58"/>
      <c r="E60" s="58"/>
      <c r="F60" s="58"/>
      <c r="G60" s="58"/>
    </row>
    <row r="61" spans="1:7" ht="17">
      <c r="A61" s="3" t="str">
        <f>A30</f>
        <v>Paid In Capital</v>
      </c>
      <c r="B61" s="53">
        <f>B30</f>
        <v>0</v>
      </c>
      <c r="C61" s="53">
        <f>F30</f>
        <v>0</v>
      </c>
      <c r="D61" s="53">
        <f>J30</f>
        <v>0</v>
      </c>
      <c r="E61" s="53">
        <f>N30</f>
        <v>0</v>
      </c>
      <c r="F61" s="53">
        <f>R30</f>
        <v>0</v>
      </c>
      <c r="G61" s="53">
        <f>V30</f>
        <v>0</v>
      </c>
    </row>
    <row r="62" spans="1:7" ht="17">
      <c r="A62" s="3" t="str">
        <f>A31</f>
        <v>Retained Earnings</v>
      </c>
      <c r="B62" s="53">
        <f>B31</f>
        <v>0</v>
      </c>
      <c r="C62" s="53">
        <f>F31</f>
        <v>-8946.2500000000018</v>
      </c>
      <c r="D62" s="53">
        <f>J31</f>
        <v>-10531.500000000002</v>
      </c>
      <c r="E62" s="53">
        <f>N31</f>
        <v>-2630.7500000000014</v>
      </c>
      <c r="F62" s="53">
        <f>R31</f>
        <v>14756</v>
      </c>
      <c r="G62" s="53">
        <f>V31</f>
        <v>41628.75</v>
      </c>
    </row>
    <row r="63" spans="1:7">
      <c r="A63" s="58"/>
      <c r="B63" s="58"/>
      <c r="C63" s="58"/>
      <c r="D63" s="58"/>
      <c r="E63" s="58"/>
      <c r="F63" s="58"/>
      <c r="G63" s="58"/>
    </row>
    <row r="64" spans="1:7" ht="17">
      <c r="A64" s="3" t="str">
        <f>A33</f>
        <v>Total Equity</v>
      </c>
      <c r="B64" s="53">
        <f t="shared" ref="B64:G64" si="17">SUM(B61:B62)</f>
        <v>0</v>
      </c>
      <c r="C64" s="53">
        <f t="shared" si="17"/>
        <v>-8946.2500000000018</v>
      </c>
      <c r="D64" s="53">
        <f t="shared" si="17"/>
        <v>-10531.500000000002</v>
      </c>
      <c r="E64" s="53">
        <f t="shared" si="17"/>
        <v>-2630.7500000000014</v>
      </c>
      <c r="F64" s="53">
        <f t="shared" si="17"/>
        <v>14756</v>
      </c>
      <c r="G64" s="53">
        <f t="shared" si="17"/>
        <v>41628.75</v>
      </c>
    </row>
    <row r="65" spans="1:7">
      <c r="A65" s="58"/>
      <c r="B65" s="58"/>
      <c r="C65" s="58"/>
      <c r="D65" s="58"/>
      <c r="E65" s="58"/>
      <c r="F65" s="58"/>
      <c r="G65" s="58"/>
    </row>
    <row r="66" spans="1:7" ht="17">
      <c r="A66" s="3" t="str">
        <f>A35</f>
        <v>Total Lia &amp; Equity</v>
      </c>
      <c r="B66" s="53">
        <f t="shared" ref="B66:G66" si="18">B59+B64</f>
        <v>0</v>
      </c>
      <c r="C66" s="53">
        <f t="shared" si="18"/>
        <v>91809.75</v>
      </c>
      <c r="D66" s="53">
        <f t="shared" si="18"/>
        <v>90980.5</v>
      </c>
      <c r="E66" s="53">
        <f t="shared" si="18"/>
        <v>99637.25</v>
      </c>
      <c r="F66" s="53">
        <f t="shared" si="18"/>
        <v>117780</v>
      </c>
      <c r="G66" s="53">
        <f t="shared" si="18"/>
        <v>145408.75</v>
      </c>
    </row>
  </sheetData>
  <sheetProtection sheet="1" objects="1" scenarios="1" selectLockedCells="1"/>
  <mergeCells count="5">
    <mergeCell ref="C2:F2"/>
    <mergeCell ref="G2:J2"/>
    <mergeCell ref="K2:N2"/>
    <mergeCell ref="O2:R2"/>
    <mergeCell ref="S2:V2"/>
  </mergeCells>
  <pageMargins left="0.7" right="0.7" top="0.75" bottom="0.75" header="0.3" footer="0.3"/>
  <pageSetup orientation="portrait" horizontalDpi="4294967292" verticalDpi="4294967292"/>
  <ignoredErrors>
    <ignoredError sqref="E15:V15" unlockedFormula="1"/>
  </ignoredErrors>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BK53"/>
  <sheetViews>
    <sheetView showGridLines="0" showRowColHeaders="0" zoomScale="80" zoomScaleNormal="80" zoomScalePageLayoutView="80" workbookViewId="0">
      <pane xSplit="1" topLeftCell="B1" activePane="topRight" state="frozen"/>
      <selection activeCell="B4" sqref="B4"/>
      <selection pane="topRight" activeCell="H44" sqref="H44"/>
    </sheetView>
  </sheetViews>
  <sheetFormatPr baseColWidth="10" defaultColWidth="8.83203125" defaultRowHeight="13" x14ac:dyDescent="0"/>
  <cols>
    <col min="1" max="1" width="24.6640625" style="6" customWidth="1"/>
    <col min="2" max="61" width="12.5" style="6" customWidth="1"/>
    <col min="62" max="16384" width="8.83203125" style="6"/>
  </cols>
  <sheetData>
    <row r="1" spans="1:63" ht="100" customHeight="1"/>
    <row r="2" spans="1:63" s="3" customFormat="1" ht="17" customHeight="1">
      <c r="B2" s="208">
        <f>Vol!B2</f>
        <v>2018</v>
      </c>
      <c r="C2" s="208"/>
      <c r="D2" s="208"/>
      <c r="E2" s="208"/>
      <c r="F2" s="208"/>
      <c r="G2" s="208"/>
      <c r="H2" s="208"/>
      <c r="I2" s="208"/>
      <c r="J2" s="208"/>
      <c r="K2" s="208"/>
      <c r="L2" s="208"/>
      <c r="M2" s="208"/>
      <c r="N2" s="208">
        <f>B2+1</f>
        <v>2019</v>
      </c>
      <c r="O2" s="208"/>
      <c r="P2" s="208"/>
      <c r="Q2" s="208"/>
      <c r="R2" s="208"/>
      <c r="S2" s="208"/>
      <c r="T2" s="208"/>
      <c r="U2" s="208"/>
      <c r="V2" s="208"/>
      <c r="W2" s="208"/>
      <c r="X2" s="208"/>
      <c r="Y2" s="208"/>
      <c r="Z2" s="208">
        <f>N2+1</f>
        <v>2020</v>
      </c>
      <c r="AA2" s="208"/>
      <c r="AB2" s="208"/>
      <c r="AC2" s="208"/>
      <c r="AD2" s="208"/>
      <c r="AE2" s="208"/>
      <c r="AF2" s="208"/>
      <c r="AG2" s="208"/>
      <c r="AH2" s="208"/>
      <c r="AI2" s="208"/>
      <c r="AJ2" s="208"/>
      <c r="AK2" s="208"/>
      <c r="AL2" s="208">
        <f>Z2+1</f>
        <v>2021</v>
      </c>
      <c r="AM2" s="208"/>
      <c r="AN2" s="208"/>
      <c r="AO2" s="208"/>
      <c r="AP2" s="208"/>
      <c r="AQ2" s="208"/>
      <c r="AR2" s="208"/>
      <c r="AS2" s="208"/>
      <c r="AT2" s="208"/>
      <c r="AU2" s="208"/>
      <c r="AV2" s="208"/>
      <c r="AW2" s="208"/>
      <c r="AX2" s="208">
        <f>AL2+1</f>
        <v>2022</v>
      </c>
      <c r="AY2" s="208"/>
      <c r="AZ2" s="208"/>
      <c r="BA2" s="208"/>
      <c r="BB2" s="208"/>
      <c r="BC2" s="208"/>
      <c r="BD2" s="208"/>
      <c r="BE2" s="208"/>
      <c r="BF2" s="208"/>
      <c r="BG2" s="208"/>
      <c r="BH2" s="208"/>
      <c r="BI2" s="208"/>
    </row>
    <row r="3" spans="1:63" s="3" customFormat="1" ht="17">
      <c r="B3" s="61" t="str">
        <f>Vol!B3</f>
        <v>Jan</v>
      </c>
      <c r="C3" s="61" t="str">
        <f>Vol!C3</f>
        <v>Feb</v>
      </c>
      <c r="D3" s="61" t="str">
        <f>Vol!D3</f>
        <v>Mar</v>
      </c>
      <c r="E3" s="61" t="str">
        <f>Vol!E3</f>
        <v>Apr</v>
      </c>
      <c r="F3" s="61" t="str">
        <f>Vol!F3</f>
        <v>May</v>
      </c>
      <c r="G3" s="61" t="str">
        <f>Vol!G3</f>
        <v>Jun</v>
      </c>
      <c r="H3" s="61" t="str">
        <f>Vol!H3</f>
        <v>Jul</v>
      </c>
      <c r="I3" s="61" t="str">
        <f>Vol!I3</f>
        <v>Aug</v>
      </c>
      <c r="J3" s="61" t="str">
        <f>Vol!J3</f>
        <v>Sep</v>
      </c>
      <c r="K3" s="61" t="str">
        <f>Vol!K3</f>
        <v>Oct</v>
      </c>
      <c r="L3" s="61" t="str">
        <f>Vol!L3</f>
        <v>Nov</v>
      </c>
      <c r="M3" s="61" t="str">
        <f>Vol!M3</f>
        <v>Dec</v>
      </c>
      <c r="N3" s="61" t="str">
        <f>Vol!N3</f>
        <v>Jan</v>
      </c>
      <c r="O3" s="61" t="str">
        <f>Vol!O3</f>
        <v>Feb</v>
      </c>
      <c r="P3" s="61" t="str">
        <f>Vol!P3</f>
        <v>Mar</v>
      </c>
      <c r="Q3" s="61" t="str">
        <f>Vol!Q3</f>
        <v>Apr</v>
      </c>
      <c r="R3" s="61" t="str">
        <f>Vol!R3</f>
        <v>May</v>
      </c>
      <c r="S3" s="61" t="str">
        <f>Vol!S3</f>
        <v>Jun</v>
      </c>
      <c r="T3" s="61" t="str">
        <f>Vol!T3</f>
        <v>Jul</v>
      </c>
      <c r="U3" s="61" t="str">
        <f>Vol!U3</f>
        <v>Aug</v>
      </c>
      <c r="V3" s="61" t="str">
        <f>Vol!V3</f>
        <v>Sep</v>
      </c>
      <c r="W3" s="61" t="str">
        <f>Vol!W3</f>
        <v>Oct</v>
      </c>
      <c r="X3" s="61" t="str">
        <f>Vol!X3</f>
        <v>Nov</v>
      </c>
      <c r="Y3" s="61" t="str">
        <f>Vol!Y3</f>
        <v>Dec</v>
      </c>
      <c r="Z3" s="61" t="str">
        <f>Vol!Z3</f>
        <v>Jan</v>
      </c>
      <c r="AA3" s="61" t="str">
        <f>Vol!AA3</f>
        <v>Feb</v>
      </c>
      <c r="AB3" s="61" t="str">
        <f>Vol!AB3</f>
        <v>Mar</v>
      </c>
      <c r="AC3" s="61" t="str">
        <f>Vol!AC3</f>
        <v>Apr</v>
      </c>
      <c r="AD3" s="61" t="str">
        <f>Vol!AD3</f>
        <v>May</v>
      </c>
      <c r="AE3" s="61" t="str">
        <f>Vol!AE3</f>
        <v>Jun</v>
      </c>
      <c r="AF3" s="61" t="str">
        <f>Vol!AF3</f>
        <v>Jul</v>
      </c>
      <c r="AG3" s="61" t="str">
        <f>Vol!AG3</f>
        <v>Aug</v>
      </c>
      <c r="AH3" s="61" t="str">
        <f>Vol!AH3</f>
        <v>Sep</v>
      </c>
      <c r="AI3" s="61" t="str">
        <f>Vol!AI3</f>
        <v>Oct</v>
      </c>
      <c r="AJ3" s="61" t="str">
        <f>Vol!AJ3</f>
        <v>Nov</v>
      </c>
      <c r="AK3" s="61" t="str">
        <f>Vol!AK3</f>
        <v>Dec</v>
      </c>
      <c r="AL3" s="61" t="str">
        <f>Vol!AL3</f>
        <v>Jan</v>
      </c>
      <c r="AM3" s="61" t="str">
        <f>Vol!AM3</f>
        <v>Feb</v>
      </c>
      <c r="AN3" s="61" t="str">
        <f>Vol!AN3</f>
        <v>Mar</v>
      </c>
      <c r="AO3" s="61" t="str">
        <f>Vol!AO3</f>
        <v>Apr</v>
      </c>
      <c r="AP3" s="61" t="str">
        <f>Vol!AP3</f>
        <v>May</v>
      </c>
      <c r="AQ3" s="61" t="str">
        <f>Vol!AQ3</f>
        <v>Jun</v>
      </c>
      <c r="AR3" s="61" t="str">
        <f>Vol!AR3</f>
        <v>Jul</v>
      </c>
      <c r="AS3" s="61" t="str">
        <f>Vol!AS3</f>
        <v>Aug</v>
      </c>
      <c r="AT3" s="61" t="str">
        <f>Vol!AT3</f>
        <v>Sep</v>
      </c>
      <c r="AU3" s="61" t="str">
        <f>Vol!AU3</f>
        <v>Oct</v>
      </c>
      <c r="AV3" s="61" t="str">
        <f>Vol!AV3</f>
        <v>Nov</v>
      </c>
      <c r="AW3" s="61" t="str">
        <f>Vol!AW3</f>
        <v>Dec</v>
      </c>
      <c r="AX3" s="61" t="str">
        <f>Vol!AX3</f>
        <v>Jan</v>
      </c>
      <c r="AY3" s="61" t="str">
        <f>Vol!AY3</f>
        <v>Feb</v>
      </c>
      <c r="AZ3" s="61" t="str">
        <f>Vol!AZ3</f>
        <v>Mar</v>
      </c>
      <c r="BA3" s="61" t="str">
        <f>Vol!BA3</f>
        <v>Apr</v>
      </c>
      <c r="BB3" s="61" t="str">
        <f>Vol!BB3</f>
        <v>May</v>
      </c>
      <c r="BC3" s="61" t="str">
        <f>Vol!BC3</f>
        <v>Jun</v>
      </c>
      <c r="BD3" s="61" t="str">
        <f>Vol!BD3</f>
        <v>Jul</v>
      </c>
      <c r="BE3" s="61" t="str">
        <f>Vol!BE3</f>
        <v>Aug</v>
      </c>
      <c r="BF3" s="61" t="str">
        <f>Vol!BF3</f>
        <v>Sep</v>
      </c>
      <c r="BG3" s="61" t="str">
        <f>Vol!BG3</f>
        <v>Oct</v>
      </c>
      <c r="BH3" s="61" t="str">
        <f>Vol!BH3</f>
        <v>Nov</v>
      </c>
      <c r="BI3" s="61" t="str">
        <f>Vol!BI3</f>
        <v>Dec</v>
      </c>
    </row>
    <row r="4" spans="1:63" ht="17">
      <c r="A4" s="3" t="s">
        <v>28</v>
      </c>
      <c r="B4" s="53">
        <f>Vol!B27</f>
        <v>350</v>
      </c>
      <c r="C4" s="53">
        <f>Vol!C27</f>
        <v>525</v>
      </c>
      <c r="D4" s="53">
        <f>Vol!D27</f>
        <v>700</v>
      </c>
      <c r="E4" s="53">
        <f>Vol!E27</f>
        <v>875</v>
      </c>
      <c r="F4" s="53">
        <f>Vol!F27</f>
        <v>1050</v>
      </c>
      <c r="G4" s="53">
        <f>Vol!G27</f>
        <v>1225</v>
      </c>
      <c r="H4" s="53">
        <f>Vol!H27</f>
        <v>1400</v>
      </c>
      <c r="I4" s="53">
        <f>Vol!I27</f>
        <v>1575</v>
      </c>
      <c r="J4" s="53">
        <f>Vol!J27</f>
        <v>1750</v>
      </c>
      <c r="K4" s="53">
        <f>Vol!K27</f>
        <v>1925</v>
      </c>
      <c r="L4" s="53">
        <f>Vol!L27</f>
        <v>2100</v>
      </c>
      <c r="M4" s="53">
        <f>Vol!M27</f>
        <v>2275</v>
      </c>
      <c r="N4" s="53">
        <f>Vol!N27</f>
        <v>2450</v>
      </c>
      <c r="O4" s="53">
        <f>Vol!O27</f>
        <v>2625</v>
      </c>
      <c r="P4" s="53">
        <f>Vol!P27</f>
        <v>2800</v>
      </c>
      <c r="Q4" s="53">
        <f>Vol!Q27</f>
        <v>2975</v>
      </c>
      <c r="R4" s="53">
        <f>Vol!R27</f>
        <v>3150</v>
      </c>
      <c r="S4" s="53">
        <f>Vol!S27</f>
        <v>3325</v>
      </c>
      <c r="T4" s="53">
        <f>Vol!T27</f>
        <v>3500</v>
      </c>
      <c r="U4" s="53">
        <f>Vol!U27</f>
        <v>3675</v>
      </c>
      <c r="V4" s="53">
        <f>Vol!V27</f>
        <v>3850</v>
      </c>
      <c r="W4" s="53">
        <f>Vol!W27</f>
        <v>4025</v>
      </c>
      <c r="X4" s="53">
        <f>Vol!X27</f>
        <v>4200</v>
      </c>
      <c r="Y4" s="53">
        <f>Vol!Y27</f>
        <v>4375</v>
      </c>
      <c r="Z4" s="53">
        <f>Vol!Z27</f>
        <v>4550</v>
      </c>
      <c r="AA4" s="53">
        <f>Vol!AA27</f>
        <v>4725</v>
      </c>
      <c r="AB4" s="53">
        <f>Vol!AB27</f>
        <v>4900</v>
      </c>
      <c r="AC4" s="53">
        <f>Vol!AC27</f>
        <v>5075</v>
      </c>
      <c r="AD4" s="53">
        <f>Vol!AD27</f>
        <v>5250</v>
      </c>
      <c r="AE4" s="53">
        <f>Vol!AE27</f>
        <v>5425</v>
      </c>
      <c r="AF4" s="53">
        <f>Vol!AF27</f>
        <v>5600</v>
      </c>
      <c r="AG4" s="53">
        <f>Vol!AG27</f>
        <v>5775</v>
      </c>
      <c r="AH4" s="53">
        <f>Vol!AH27</f>
        <v>5950</v>
      </c>
      <c r="AI4" s="53">
        <f>Vol!AI27</f>
        <v>6125</v>
      </c>
      <c r="AJ4" s="53">
        <f>Vol!AJ27</f>
        <v>6300</v>
      </c>
      <c r="AK4" s="53">
        <f>Vol!AK27</f>
        <v>6475</v>
      </c>
      <c r="AL4" s="53">
        <f>Vol!AL27</f>
        <v>6650</v>
      </c>
      <c r="AM4" s="53">
        <f>Vol!AM27</f>
        <v>6825</v>
      </c>
      <c r="AN4" s="53">
        <f>Vol!AN27</f>
        <v>7000</v>
      </c>
      <c r="AO4" s="53">
        <f>Vol!AO27</f>
        <v>7175</v>
      </c>
      <c r="AP4" s="53">
        <f>Vol!AP27</f>
        <v>7350</v>
      </c>
      <c r="AQ4" s="53">
        <f>Vol!AQ27</f>
        <v>7525</v>
      </c>
      <c r="AR4" s="53">
        <f>Vol!AR27</f>
        <v>7700</v>
      </c>
      <c r="AS4" s="53">
        <f>Vol!AS27</f>
        <v>7875</v>
      </c>
      <c r="AT4" s="53">
        <f>Vol!AT27</f>
        <v>8050</v>
      </c>
      <c r="AU4" s="53">
        <f>Vol!AU27</f>
        <v>8225</v>
      </c>
      <c r="AV4" s="53">
        <f>Vol!AV27</f>
        <v>8400</v>
      </c>
      <c r="AW4" s="53">
        <f>Vol!AW27</f>
        <v>8575</v>
      </c>
      <c r="AX4" s="53">
        <f>Vol!AX27</f>
        <v>8750</v>
      </c>
      <c r="AY4" s="53">
        <f>Vol!AY27</f>
        <v>8925</v>
      </c>
      <c r="AZ4" s="53">
        <f>Vol!AZ27</f>
        <v>9100</v>
      </c>
      <c r="BA4" s="53">
        <f>Vol!BA27</f>
        <v>9275</v>
      </c>
      <c r="BB4" s="53">
        <f>Vol!BB27</f>
        <v>9450</v>
      </c>
      <c r="BC4" s="53">
        <f>Vol!BC27</f>
        <v>9625</v>
      </c>
      <c r="BD4" s="53">
        <f>Vol!BD27</f>
        <v>9800</v>
      </c>
      <c r="BE4" s="53">
        <f>Vol!BE27</f>
        <v>9975</v>
      </c>
      <c r="BF4" s="53">
        <f>Vol!BF27</f>
        <v>10150</v>
      </c>
      <c r="BG4" s="53">
        <f>Vol!BG27</f>
        <v>10325</v>
      </c>
      <c r="BH4" s="53">
        <f>Vol!BH27</f>
        <v>10500</v>
      </c>
      <c r="BI4" s="53">
        <f>Vol!BI27</f>
        <v>10675</v>
      </c>
      <c r="BJ4" s="45"/>
    </row>
    <row r="5" spans="1:63">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45"/>
    </row>
    <row r="6" spans="1:63" ht="17">
      <c r="A6" s="3" t="s">
        <v>58</v>
      </c>
      <c r="B6" s="53">
        <f>Vol!B41</f>
        <v>100</v>
      </c>
      <c r="C6" s="53">
        <f>Vol!C41</f>
        <v>150</v>
      </c>
      <c r="D6" s="53">
        <f>Vol!D41</f>
        <v>200</v>
      </c>
      <c r="E6" s="53">
        <f>Vol!E41</f>
        <v>250</v>
      </c>
      <c r="F6" s="53">
        <f>Vol!F41</f>
        <v>300</v>
      </c>
      <c r="G6" s="53">
        <f>Vol!G41</f>
        <v>350</v>
      </c>
      <c r="H6" s="53">
        <f>Vol!H41</f>
        <v>400</v>
      </c>
      <c r="I6" s="53">
        <f>Vol!I41</f>
        <v>450</v>
      </c>
      <c r="J6" s="53">
        <f>Vol!J41</f>
        <v>500</v>
      </c>
      <c r="K6" s="53">
        <f>Vol!K41</f>
        <v>550</v>
      </c>
      <c r="L6" s="53">
        <f>Vol!L41</f>
        <v>600</v>
      </c>
      <c r="M6" s="53">
        <f>Vol!M41</f>
        <v>650</v>
      </c>
      <c r="N6" s="53">
        <f>Vol!N41</f>
        <v>700</v>
      </c>
      <c r="O6" s="53">
        <f>Vol!O41</f>
        <v>750</v>
      </c>
      <c r="P6" s="53">
        <f>Vol!P41</f>
        <v>800</v>
      </c>
      <c r="Q6" s="53">
        <f>Vol!Q41</f>
        <v>850</v>
      </c>
      <c r="R6" s="53">
        <f>Vol!R41</f>
        <v>900</v>
      </c>
      <c r="S6" s="53">
        <f>Vol!S41</f>
        <v>950</v>
      </c>
      <c r="T6" s="53">
        <f>Vol!T41</f>
        <v>1000</v>
      </c>
      <c r="U6" s="53">
        <f>Vol!U41</f>
        <v>1050</v>
      </c>
      <c r="V6" s="53">
        <f>Vol!V41</f>
        <v>1100</v>
      </c>
      <c r="W6" s="53">
        <f>Vol!W41</f>
        <v>1150</v>
      </c>
      <c r="X6" s="53">
        <f>Vol!X41</f>
        <v>1200</v>
      </c>
      <c r="Y6" s="53">
        <f>Vol!Y41</f>
        <v>1250</v>
      </c>
      <c r="Z6" s="53">
        <f>Vol!Z41</f>
        <v>1300</v>
      </c>
      <c r="AA6" s="53">
        <f>Vol!AA41</f>
        <v>1350</v>
      </c>
      <c r="AB6" s="53">
        <f>Vol!AB41</f>
        <v>1400</v>
      </c>
      <c r="AC6" s="53">
        <f>Vol!AC41</f>
        <v>1450</v>
      </c>
      <c r="AD6" s="53">
        <f>Vol!AD41</f>
        <v>1500</v>
      </c>
      <c r="AE6" s="53">
        <f>Vol!AE41</f>
        <v>1550</v>
      </c>
      <c r="AF6" s="53">
        <f>Vol!AF41</f>
        <v>1600</v>
      </c>
      <c r="AG6" s="53">
        <f>Vol!AG41</f>
        <v>1650</v>
      </c>
      <c r="AH6" s="53">
        <f>Vol!AH41</f>
        <v>1700</v>
      </c>
      <c r="AI6" s="53">
        <f>Vol!AI41</f>
        <v>1750</v>
      </c>
      <c r="AJ6" s="53">
        <f>Vol!AJ41</f>
        <v>1800</v>
      </c>
      <c r="AK6" s="53">
        <f>Vol!AK41</f>
        <v>1850</v>
      </c>
      <c r="AL6" s="53">
        <f>Vol!AL41</f>
        <v>1900</v>
      </c>
      <c r="AM6" s="53">
        <f>Vol!AM41</f>
        <v>1950</v>
      </c>
      <c r="AN6" s="53">
        <f>Vol!AN41</f>
        <v>2000</v>
      </c>
      <c r="AO6" s="53">
        <f>Vol!AO41</f>
        <v>2050</v>
      </c>
      <c r="AP6" s="53">
        <f>Vol!AP41</f>
        <v>2100</v>
      </c>
      <c r="AQ6" s="53">
        <f>Vol!AQ41</f>
        <v>2150</v>
      </c>
      <c r="AR6" s="53">
        <f>Vol!AR41</f>
        <v>2200</v>
      </c>
      <c r="AS6" s="53">
        <f>Vol!AS41</f>
        <v>2250</v>
      </c>
      <c r="AT6" s="53">
        <f>Vol!AT41</f>
        <v>2300</v>
      </c>
      <c r="AU6" s="53">
        <f>Vol!AU41</f>
        <v>2350</v>
      </c>
      <c r="AV6" s="53">
        <f>Vol!AV41</f>
        <v>2400</v>
      </c>
      <c r="AW6" s="53">
        <f>Vol!AW41</f>
        <v>2450</v>
      </c>
      <c r="AX6" s="53">
        <f>Vol!AX41</f>
        <v>2500</v>
      </c>
      <c r="AY6" s="53">
        <f>Vol!AY41</f>
        <v>2550</v>
      </c>
      <c r="AZ6" s="53">
        <f>Vol!AZ41</f>
        <v>2600</v>
      </c>
      <c r="BA6" s="53">
        <f>Vol!BA41</f>
        <v>2650</v>
      </c>
      <c r="BB6" s="53">
        <f>Vol!BB41</f>
        <v>2700</v>
      </c>
      <c r="BC6" s="53">
        <f>Vol!BC41</f>
        <v>2750</v>
      </c>
      <c r="BD6" s="53">
        <f>Vol!BD41</f>
        <v>2800</v>
      </c>
      <c r="BE6" s="53">
        <f>Vol!BE41</f>
        <v>2850</v>
      </c>
      <c r="BF6" s="53">
        <f>Vol!BF41</f>
        <v>2900</v>
      </c>
      <c r="BG6" s="53">
        <f>Vol!BG41</f>
        <v>2950</v>
      </c>
      <c r="BH6" s="53">
        <f>Vol!BH41</f>
        <v>3000</v>
      </c>
      <c r="BI6" s="53">
        <f>Vol!BI41</f>
        <v>3050</v>
      </c>
      <c r="BJ6" s="45"/>
    </row>
    <row r="7" spans="1:63" ht="17">
      <c r="A7" s="3" t="s">
        <v>59</v>
      </c>
      <c r="B7" s="53">
        <f>Vol!B55</f>
        <v>40</v>
      </c>
      <c r="C7" s="53">
        <f>Vol!C55</f>
        <v>60</v>
      </c>
      <c r="D7" s="53">
        <f>Vol!D55</f>
        <v>80</v>
      </c>
      <c r="E7" s="53">
        <f>Vol!E55</f>
        <v>100</v>
      </c>
      <c r="F7" s="53">
        <f>Vol!F55</f>
        <v>120</v>
      </c>
      <c r="G7" s="53">
        <f>Vol!G55</f>
        <v>140</v>
      </c>
      <c r="H7" s="53">
        <f>Vol!H55</f>
        <v>160</v>
      </c>
      <c r="I7" s="53">
        <f>Vol!I55</f>
        <v>180</v>
      </c>
      <c r="J7" s="53">
        <f>Vol!J55</f>
        <v>200</v>
      </c>
      <c r="K7" s="53">
        <f>Vol!K55</f>
        <v>220</v>
      </c>
      <c r="L7" s="53">
        <f>Vol!L55</f>
        <v>240</v>
      </c>
      <c r="M7" s="53">
        <f>Vol!M55</f>
        <v>260</v>
      </c>
      <c r="N7" s="53">
        <f>Vol!N55</f>
        <v>280</v>
      </c>
      <c r="O7" s="53">
        <f>Vol!O55</f>
        <v>300</v>
      </c>
      <c r="P7" s="53">
        <f>Vol!P55</f>
        <v>320</v>
      </c>
      <c r="Q7" s="53">
        <f>Vol!Q55</f>
        <v>340</v>
      </c>
      <c r="R7" s="53">
        <f>Vol!R55</f>
        <v>360</v>
      </c>
      <c r="S7" s="53">
        <f>Vol!S55</f>
        <v>380</v>
      </c>
      <c r="T7" s="53">
        <f>Vol!T55</f>
        <v>400</v>
      </c>
      <c r="U7" s="53">
        <f>Vol!U55</f>
        <v>420</v>
      </c>
      <c r="V7" s="53">
        <f>Vol!V55</f>
        <v>440</v>
      </c>
      <c r="W7" s="53">
        <f>Vol!W55</f>
        <v>460</v>
      </c>
      <c r="X7" s="53">
        <f>Vol!X55</f>
        <v>480</v>
      </c>
      <c r="Y7" s="53">
        <f>Vol!Y55</f>
        <v>500</v>
      </c>
      <c r="Z7" s="53">
        <f>Vol!Z55</f>
        <v>520</v>
      </c>
      <c r="AA7" s="53">
        <f>Vol!AA55</f>
        <v>540</v>
      </c>
      <c r="AB7" s="53">
        <f>Vol!AB55</f>
        <v>560</v>
      </c>
      <c r="AC7" s="53">
        <f>Vol!AC55</f>
        <v>580</v>
      </c>
      <c r="AD7" s="53">
        <f>Vol!AD55</f>
        <v>600</v>
      </c>
      <c r="AE7" s="53">
        <f>Vol!AE55</f>
        <v>620</v>
      </c>
      <c r="AF7" s="53">
        <f>Vol!AF55</f>
        <v>640</v>
      </c>
      <c r="AG7" s="53">
        <f>Vol!AG55</f>
        <v>660</v>
      </c>
      <c r="AH7" s="53">
        <f>Vol!AH55</f>
        <v>680</v>
      </c>
      <c r="AI7" s="53">
        <f>Vol!AI55</f>
        <v>700</v>
      </c>
      <c r="AJ7" s="53">
        <f>Vol!AJ55</f>
        <v>720</v>
      </c>
      <c r="AK7" s="53">
        <f>Vol!AK55</f>
        <v>740</v>
      </c>
      <c r="AL7" s="53">
        <f>Vol!AL55</f>
        <v>760</v>
      </c>
      <c r="AM7" s="53">
        <f>Vol!AM55</f>
        <v>780</v>
      </c>
      <c r="AN7" s="53">
        <f>Vol!AN55</f>
        <v>800</v>
      </c>
      <c r="AO7" s="53">
        <f>Vol!AO55</f>
        <v>820</v>
      </c>
      <c r="AP7" s="53">
        <f>Vol!AP55</f>
        <v>840</v>
      </c>
      <c r="AQ7" s="53">
        <f>Vol!AQ55</f>
        <v>860</v>
      </c>
      <c r="AR7" s="53">
        <f>Vol!AR55</f>
        <v>880</v>
      </c>
      <c r="AS7" s="53">
        <f>Vol!AS55</f>
        <v>900</v>
      </c>
      <c r="AT7" s="53">
        <f>Vol!AT55</f>
        <v>920</v>
      </c>
      <c r="AU7" s="53">
        <f>Vol!AU55</f>
        <v>940</v>
      </c>
      <c r="AV7" s="53">
        <f>Vol!AV55</f>
        <v>960</v>
      </c>
      <c r="AW7" s="53">
        <f>Vol!AW55</f>
        <v>980</v>
      </c>
      <c r="AX7" s="53">
        <f>Vol!AX55</f>
        <v>1000</v>
      </c>
      <c r="AY7" s="53">
        <f>Vol!AY55</f>
        <v>1020</v>
      </c>
      <c r="AZ7" s="53">
        <f>Vol!AZ55</f>
        <v>1040</v>
      </c>
      <c r="BA7" s="53">
        <f>Vol!BA55</f>
        <v>1060</v>
      </c>
      <c r="BB7" s="53">
        <f>Vol!BB55</f>
        <v>1080</v>
      </c>
      <c r="BC7" s="53">
        <f>Vol!BC55</f>
        <v>1100</v>
      </c>
      <c r="BD7" s="53">
        <f>Vol!BD55</f>
        <v>1120</v>
      </c>
      <c r="BE7" s="53">
        <f>Vol!BE55</f>
        <v>1140</v>
      </c>
      <c r="BF7" s="53">
        <f>Vol!BF55</f>
        <v>1160</v>
      </c>
      <c r="BG7" s="53">
        <f>Vol!BG55</f>
        <v>1180</v>
      </c>
      <c r="BH7" s="53">
        <f>Vol!BH55</f>
        <v>1200</v>
      </c>
      <c r="BI7" s="53">
        <f>Vol!BI55</f>
        <v>1220</v>
      </c>
      <c r="BJ7" s="45"/>
    </row>
    <row r="8" spans="1:63" ht="17">
      <c r="A8" s="3" t="s">
        <v>60</v>
      </c>
      <c r="B8" s="53">
        <f>Vol!B69</f>
        <v>55</v>
      </c>
      <c r="C8" s="53">
        <f>Vol!C69</f>
        <v>82.5</v>
      </c>
      <c r="D8" s="53">
        <f>Vol!D69</f>
        <v>110</v>
      </c>
      <c r="E8" s="53">
        <f>Vol!E69</f>
        <v>137.5</v>
      </c>
      <c r="F8" s="53">
        <f>Vol!F69</f>
        <v>165</v>
      </c>
      <c r="G8" s="53">
        <f>Vol!G69</f>
        <v>192.5</v>
      </c>
      <c r="H8" s="53">
        <f>Vol!H69</f>
        <v>220</v>
      </c>
      <c r="I8" s="53">
        <f>Vol!I69</f>
        <v>247.5</v>
      </c>
      <c r="J8" s="53">
        <f>Vol!J69</f>
        <v>275</v>
      </c>
      <c r="K8" s="53">
        <f>Vol!K69</f>
        <v>302.5</v>
      </c>
      <c r="L8" s="53">
        <f>Vol!L69</f>
        <v>330</v>
      </c>
      <c r="M8" s="53">
        <f>Vol!M69</f>
        <v>357.5</v>
      </c>
      <c r="N8" s="53">
        <f>Vol!N69</f>
        <v>385</v>
      </c>
      <c r="O8" s="53">
        <f>Vol!O69</f>
        <v>412.5</v>
      </c>
      <c r="P8" s="53">
        <f>Vol!P69</f>
        <v>440</v>
      </c>
      <c r="Q8" s="53">
        <f>Vol!Q69</f>
        <v>467.5</v>
      </c>
      <c r="R8" s="53">
        <f>Vol!R69</f>
        <v>495</v>
      </c>
      <c r="S8" s="53">
        <f>Vol!S69</f>
        <v>522.5</v>
      </c>
      <c r="T8" s="53">
        <f>Vol!T69</f>
        <v>550</v>
      </c>
      <c r="U8" s="53">
        <f>Vol!U69</f>
        <v>577.5</v>
      </c>
      <c r="V8" s="53">
        <f>Vol!V69</f>
        <v>605</v>
      </c>
      <c r="W8" s="53">
        <f>Vol!W69</f>
        <v>632.5</v>
      </c>
      <c r="X8" s="53">
        <f>Vol!X69</f>
        <v>660</v>
      </c>
      <c r="Y8" s="53">
        <f>Vol!Y69</f>
        <v>687.5</v>
      </c>
      <c r="Z8" s="53">
        <f>Vol!Z69</f>
        <v>715</v>
      </c>
      <c r="AA8" s="53">
        <f>Vol!AA69</f>
        <v>742.5</v>
      </c>
      <c r="AB8" s="53">
        <f>Vol!AB69</f>
        <v>770</v>
      </c>
      <c r="AC8" s="53">
        <f>Vol!AC69</f>
        <v>797.5</v>
      </c>
      <c r="AD8" s="53">
        <f>Vol!AD69</f>
        <v>825</v>
      </c>
      <c r="AE8" s="53">
        <f>Vol!AE69</f>
        <v>852.5</v>
      </c>
      <c r="AF8" s="53">
        <f>Vol!AF69</f>
        <v>880</v>
      </c>
      <c r="AG8" s="53">
        <f>Vol!AG69</f>
        <v>907.5</v>
      </c>
      <c r="AH8" s="53">
        <f>Vol!AH69</f>
        <v>935</v>
      </c>
      <c r="AI8" s="53">
        <f>Vol!AI69</f>
        <v>962.5</v>
      </c>
      <c r="AJ8" s="53">
        <f>Vol!AJ69</f>
        <v>990</v>
      </c>
      <c r="AK8" s="53">
        <f>Vol!AK69</f>
        <v>1017.5</v>
      </c>
      <c r="AL8" s="53">
        <f>Vol!AL69</f>
        <v>1045</v>
      </c>
      <c r="AM8" s="53">
        <f>Vol!AM69</f>
        <v>1072.5</v>
      </c>
      <c r="AN8" s="53">
        <f>Vol!AN69</f>
        <v>1100</v>
      </c>
      <c r="AO8" s="53">
        <f>Vol!AO69</f>
        <v>1127.5</v>
      </c>
      <c r="AP8" s="53">
        <f>Vol!AP69</f>
        <v>1155</v>
      </c>
      <c r="AQ8" s="53">
        <f>Vol!AQ69</f>
        <v>1182.5</v>
      </c>
      <c r="AR8" s="53">
        <f>Vol!AR69</f>
        <v>1210</v>
      </c>
      <c r="AS8" s="53">
        <f>Vol!AS69</f>
        <v>1237.5</v>
      </c>
      <c r="AT8" s="53">
        <f>Vol!AT69</f>
        <v>1265</v>
      </c>
      <c r="AU8" s="53">
        <f>Vol!AU69</f>
        <v>1292.5</v>
      </c>
      <c r="AV8" s="53">
        <f>Vol!AV69</f>
        <v>1320</v>
      </c>
      <c r="AW8" s="53">
        <f>Vol!AW69</f>
        <v>1347.5</v>
      </c>
      <c r="AX8" s="53">
        <f>Vol!AX69</f>
        <v>1375</v>
      </c>
      <c r="AY8" s="53">
        <f>Vol!AY69</f>
        <v>1402.5</v>
      </c>
      <c r="AZ8" s="53">
        <f>Vol!AZ69</f>
        <v>1430</v>
      </c>
      <c r="BA8" s="53">
        <f>Vol!BA69</f>
        <v>1457.5</v>
      </c>
      <c r="BB8" s="53">
        <f>Vol!BB69</f>
        <v>1485</v>
      </c>
      <c r="BC8" s="53">
        <f>Vol!BC69</f>
        <v>1512.5</v>
      </c>
      <c r="BD8" s="53">
        <f>Vol!BD69</f>
        <v>1540</v>
      </c>
      <c r="BE8" s="53">
        <f>Vol!BE69</f>
        <v>1567.5</v>
      </c>
      <c r="BF8" s="53">
        <f>Vol!BF69</f>
        <v>1595</v>
      </c>
      <c r="BG8" s="53">
        <f>Vol!BG69</f>
        <v>1622.5</v>
      </c>
      <c r="BH8" s="53">
        <f>Vol!BH69</f>
        <v>1650</v>
      </c>
      <c r="BI8" s="53">
        <f>Vol!BI69</f>
        <v>1677.5</v>
      </c>
      <c r="BJ8" s="45"/>
    </row>
    <row r="9" spans="1:63" ht="17">
      <c r="A9" s="3" t="s">
        <v>117</v>
      </c>
      <c r="B9" s="53">
        <f>Bal!B12/(Para!$C$34*12)</f>
        <v>0</v>
      </c>
      <c r="C9" s="53">
        <f>B9</f>
        <v>0</v>
      </c>
      <c r="D9" s="53">
        <f>C9</f>
        <v>0</v>
      </c>
      <c r="E9" s="53">
        <f>Bal!C12/(Para!$C$34*12)</f>
        <v>833.33333333333337</v>
      </c>
      <c r="F9" s="53">
        <f>E9</f>
        <v>833.33333333333337</v>
      </c>
      <c r="G9" s="53">
        <f>F9</f>
        <v>833.33333333333337</v>
      </c>
      <c r="H9" s="53">
        <f>Bal!D12/(Para!$C$34*12)</f>
        <v>833.33333333333337</v>
      </c>
      <c r="I9" s="53">
        <f>H9</f>
        <v>833.33333333333337</v>
      </c>
      <c r="J9" s="53">
        <f>I9</f>
        <v>833.33333333333337</v>
      </c>
      <c r="K9" s="53">
        <f>Bal!E12/(Para!$C$34*12)</f>
        <v>833.33333333333337</v>
      </c>
      <c r="L9" s="53">
        <f>K9</f>
        <v>833.33333333333337</v>
      </c>
      <c r="M9" s="53">
        <f>L9</f>
        <v>833.33333333333337</v>
      </c>
      <c r="N9" s="53">
        <f>Bal!F12/(Para!$C$34*12)</f>
        <v>833.33333333333337</v>
      </c>
      <c r="O9" s="53">
        <f>N9</f>
        <v>833.33333333333337</v>
      </c>
      <c r="P9" s="53">
        <f>O9</f>
        <v>833.33333333333337</v>
      </c>
      <c r="Q9" s="53">
        <f>Bal!G12/(Para!$C$34*12)</f>
        <v>833.33333333333337</v>
      </c>
      <c r="R9" s="53">
        <f>Q9</f>
        <v>833.33333333333337</v>
      </c>
      <c r="S9" s="53">
        <f>R9</f>
        <v>833.33333333333337</v>
      </c>
      <c r="T9" s="53">
        <f>Bal!H12/(Para!$C$34*12)</f>
        <v>833.33333333333337</v>
      </c>
      <c r="U9" s="53">
        <f>T9</f>
        <v>833.33333333333337</v>
      </c>
      <c r="V9" s="53">
        <f>U9</f>
        <v>833.33333333333337</v>
      </c>
      <c r="W9" s="53">
        <f>Bal!I12/(Para!$C$34*12)</f>
        <v>833.33333333333337</v>
      </c>
      <c r="X9" s="53">
        <f>W9</f>
        <v>833.33333333333337</v>
      </c>
      <c r="Y9" s="53">
        <f>X9</f>
        <v>833.33333333333337</v>
      </c>
      <c r="Z9" s="53">
        <f>Bal!J12/(Para!$C$34*12)</f>
        <v>833.33333333333337</v>
      </c>
      <c r="AA9" s="53">
        <f>Z9</f>
        <v>833.33333333333337</v>
      </c>
      <c r="AB9" s="53">
        <f>AA9</f>
        <v>833.33333333333337</v>
      </c>
      <c r="AC9" s="53">
        <f>Bal!K12/(Para!$C$34*12)</f>
        <v>833.33333333333337</v>
      </c>
      <c r="AD9" s="53">
        <f>AC9</f>
        <v>833.33333333333337</v>
      </c>
      <c r="AE9" s="53">
        <f>AD9</f>
        <v>833.33333333333337</v>
      </c>
      <c r="AF9" s="53">
        <f>Bal!L12/(Para!$C$34*12)</f>
        <v>833.33333333333337</v>
      </c>
      <c r="AG9" s="53">
        <f>AF9</f>
        <v>833.33333333333337</v>
      </c>
      <c r="AH9" s="53">
        <f>AG9</f>
        <v>833.33333333333337</v>
      </c>
      <c r="AI9" s="53">
        <f>Bal!M12/(Para!$C$34*12)</f>
        <v>833.33333333333337</v>
      </c>
      <c r="AJ9" s="53">
        <f>AI9</f>
        <v>833.33333333333337</v>
      </c>
      <c r="AK9" s="53">
        <f>AJ9</f>
        <v>833.33333333333337</v>
      </c>
      <c r="AL9" s="53">
        <f>Bal!N12/(Para!$C$34*12)</f>
        <v>833.33333333333337</v>
      </c>
      <c r="AM9" s="53">
        <f>AL9</f>
        <v>833.33333333333337</v>
      </c>
      <c r="AN9" s="53">
        <f>AM9</f>
        <v>833.33333333333337</v>
      </c>
      <c r="AO9" s="53">
        <f>Bal!O12/(Para!$C$34*12)</f>
        <v>833.33333333333337</v>
      </c>
      <c r="AP9" s="53">
        <f>AO9</f>
        <v>833.33333333333337</v>
      </c>
      <c r="AQ9" s="53">
        <f>AP9</f>
        <v>833.33333333333337</v>
      </c>
      <c r="AR9" s="53">
        <f>Bal!P12/(Para!$C$34*12)</f>
        <v>833.33333333333337</v>
      </c>
      <c r="AS9" s="53">
        <f>AR9</f>
        <v>833.33333333333337</v>
      </c>
      <c r="AT9" s="53">
        <f>AS9</f>
        <v>833.33333333333337</v>
      </c>
      <c r="AU9" s="53">
        <f>Bal!Q12/(Para!$C$34*12)</f>
        <v>833.33333333333337</v>
      </c>
      <c r="AV9" s="53">
        <f>AU9</f>
        <v>833.33333333333337</v>
      </c>
      <c r="AW9" s="53">
        <f>AV9</f>
        <v>833.33333333333337</v>
      </c>
      <c r="AX9" s="53">
        <f>Bal!R12/(Para!$C$34*12)</f>
        <v>833.33333333333337</v>
      </c>
      <c r="AY9" s="53">
        <f>AX9</f>
        <v>833.33333333333337</v>
      </c>
      <c r="AZ9" s="53">
        <f>AY9</f>
        <v>833.33333333333337</v>
      </c>
      <c r="BA9" s="53">
        <f>Bal!S12/(Para!$C$34*12)</f>
        <v>833.33333333333337</v>
      </c>
      <c r="BB9" s="53">
        <f>BA9</f>
        <v>833.33333333333337</v>
      </c>
      <c r="BC9" s="53">
        <f>BB9</f>
        <v>833.33333333333337</v>
      </c>
      <c r="BD9" s="53">
        <f>Bal!T12/(Para!$C$34*12)</f>
        <v>833.33333333333337</v>
      </c>
      <c r="BE9" s="53">
        <f>BD9</f>
        <v>833.33333333333337</v>
      </c>
      <c r="BF9" s="53">
        <f>BE9</f>
        <v>833.33333333333337</v>
      </c>
      <c r="BG9" s="53">
        <f>Bal!U12/(Para!$C$34*12)</f>
        <v>833.33333333333337</v>
      </c>
      <c r="BH9" s="53">
        <f>BG9</f>
        <v>833.33333333333337</v>
      </c>
      <c r="BI9" s="53">
        <f>BH9</f>
        <v>833.33333333333337</v>
      </c>
      <c r="BJ9" s="45"/>
    </row>
    <row r="10" spans="1:63">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45"/>
    </row>
    <row r="11" spans="1:63" ht="17">
      <c r="A11" s="3" t="s">
        <v>29</v>
      </c>
      <c r="B11" s="53">
        <f t="shared" ref="B11:AG11" si="0">SUM(B6:B9)</f>
        <v>195</v>
      </c>
      <c r="C11" s="53">
        <f t="shared" si="0"/>
        <v>292.5</v>
      </c>
      <c r="D11" s="53">
        <f t="shared" si="0"/>
        <v>390</v>
      </c>
      <c r="E11" s="53">
        <f t="shared" si="0"/>
        <v>1320.8333333333335</v>
      </c>
      <c r="F11" s="53">
        <f t="shared" si="0"/>
        <v>1418.3333333333335</v>
      </c>
      <c r="G11" s="53">
        <f t="shared" si="0"/>
        <v>1515.8333333333335</v>
      </c>
      <c r="H11" s="53">
        <f t="shared" si="0"/>
        <v>1613.3333333333335</v>
      </c>
      <c r="I11" s="53">
        <f t="shared" si="0"/>
        <v>1710.8333333333335</v>
      </c>
      <c r="J11" s="53">
        <f t="shared" si="0"/>
        <v>1808.3333333333335</v>
      </c>
      <c r="K11" s="53">
        <f t="shared" si="0"/>
        <v>1905.8333333333335</v>
      </c>
      <c r="L11" s="53">
        <f t="shared" si="0"/>
        <v>2003.3333333333335</v>
      </c>
      <c r="M11" s="53">
        <f t="shared" si="0"/>
        <v>2100.8333333333335</v>
      </c>
      <c r="N11" s="53">
        <f t="shared" si="0"/>
        <v>2198.3333333333335</v>
      </c>
      <c r="O11" s="53">
        <f t="shared" si="0"/>
        <v>2295.8333333333335</v>
      </c>
      <c r="P11" s="53">
        <f t="shared" si="0"/>
        <v>2393.3333333333335</v>
      </c>
      <c r="Q11" s="53">
        <f t="shared" si="0"/>
        <v>2490.8333333333335</v>
      </c>
      <c r="R11" s="53">
        <f t="shared" si="0"/>
        <v>2588.3333333333335</v>
      </c>
      <c r="S11" s="53">
        <f t="shared" si="0"/>
        <v>2685.8333333333335</v>
      </c>
      <c r="T11" s="53">
        <f t="shared" si="0"/>
        <v>2783.3333333333335</v>
      </c>
      <c r="U11" s="53">
        <f t="shared" si="0"/>
        <v>2880.8333333333335</v>
      </c>
      <c r="V11" s="53">
        <f t="shared" si="0"/>
        <v>2978.3333333333335</v>
      </c>
      <c r="W11" s="53">
        <f t="shared" si="0"/>
        <v>3075.8333333333335</v>
      </c>
      <c r="X11" s="53">
        <f t="shared" si="0"/>
        <v>3173.3333333333335</v>
      </c>
      <c r="Y11" s="53">
        <f t="shared" si="0"/>
        <v>3270.8333333333335</v>
      </c>
      <c r="Z11" s="53">
        <f t="shared" si="0"/>
        <v>3368.3333333333335</v>
      </c>
      <c r="AA11" s="53">
        <f t="shared" si="0"/>
        <v>3465.8333333333335</v>
      </c>
      <c r="AB11" s="53">
        <f t="shared" si="0"/>
        <v>3563.3333333333335</v>
      </c>
      <c r="AC11" s="53">
        <f t="shared" si="0"/>
        <v>3660.8333333333335</v>
      </c>
      <c r="AD11" s="53">
        <f t="shared" si="0"/>
        <v>3758.3333333333335</v>
      </c>
      <c r="AE11" s="53">
        <f t="shared" si="0"/>
        <v>3855.8333333333335</v>
      </c>
      <c r="AF11" s="53">
        <f t="shared" si="0"/>
        <v>3953.3333333333335</v>
      </c>
      <c r="AG11" s="53">
        <f t="shared" si="0"/>
        <v>4050.8333333333335</v>
      </c>
      <c r="AH11" s="53">
        <f t="shared" ref="AH11:BI11" si="1">SUM(AH6:AH9)</f>
        <v>4148.333333333333</v>
      </c>
      <c r="AI11" s="53">
        <f t="shared" si="1"/>
        <v>4245.833333333333</v>
      </c>
      <c r="AJ11" s="53">
        <f t="shared" si="1"/>
        <v>4343.333333333333</v>
      </c>
      <c r="AK11" s="53">
        <f t="shared" si="1"/>
        <v>4440.833333333333</v>
      </c>
      <c r="AL11" s="53">
        <f t="shared" si="1"/>
        <v>4538.333333333333</v>
      </c>
      <c r="AM11" s="53">
        <f t="shared" si="1"/>
        <v>4635.833333333333</v>
      </c>
      <c r="AN11" s="53">
        <f t="shared" si="1"/>
        <v>4733.333333333333</v>
      </c>
      <c r="AO11" s="53">
        <f t="shared" si="1"/>
        <v>4830.833333333333</v>
      </c>
      <c r="AP11" s="53">
        <f t="shared" si="1"/>
        <v>4928.333333333333</v>
      </c>
      <c r="AQ11" s="53">
        <f t="shared" si="1"/>
        <v>5025.833333333333</v>
      </c>
      <c r="AR11" s="53">
        <f t="shared" si="1"/>
        <v>5123.333333333333</v>
      </c>
      <c r="AS11" s="53">
        <f t="shared" si="1"/>
        <v>5220.833333333333</v>
      </c>
      <c r="AT11" s="53">
        <f t="shared" si="1"/>
        <v>5318.333333333333</v>
      </c>
      <c r="AU11" s="53">
        <f t="shared" si="1"/>
        <v>5415.833333333333</v>
      </c>
      <c r="AV11" s="53">
        <f t="shared" si="1"/>
        <v>5513.333333333333</v>
      </c>
      <c r="AW11" s="53">
        <f t="shared" si="1"/>
        <v>5610.833333333333</v>
      </c>
      <c r="AX11" s="53">
        <f t="shared" si="1"/>
        <v>5708.333333333333</v>
      </c>
      <c r="AY11" s="53">
        <f t="shared" si="1"/>
        <v>5805.833333333333</v>
      </c>
      <c r="AZ11" s="53">
        <f t="shared" si="1"/>
        <v>5903.333333333333</v>
      </c>
      <c r="BA11" s="53">
        <f t="shared" si="1"/>
        <v>6000.833333333333</v>
      </c>
      <c r="BB11" s="53">
        <f t="shared" si="1"/>
        <v>6098.333333333333</v>
      </c>
      <c r="BC11" s="53">
        <f t="shared" si="1"/>
        <v>6195.833333333333</v>
      </c>
      <c r="BD11" s="53">
        <f t="shared" si="1"/>
        <v>6293.333333333333</v>
      </c>
      <c r="BE11" s="53">
        <f t="shared" si="1"/>
        <v>6390.833333333333</v>
      </c>
      <c r="BF11" s="53">
        <f t="shared" si="1"/>
        <v>6488.333333333333</v>
      </c>
      <c r="BG11" s="53">
        <f t="shared" si="1"/>
        <v>6585.833333333333</v>
      </c>
      <c r="BH11" s="53">
        <f t="shared" si="1"/>
        <v>6683.333333333333</v>
      </c>
      <c r="BI11" s="53">
        <f t="shared" si="1"/>
        <v>6780.833333333333</v>
      </c>
      <c r="BJ11" s="45"/>
    </row>
    <row r="12" spans="1:63" ht="17">
      <c r="A12" s="3" t="s">
        <v>65</v>
      </c>
      <c r="B12" s="53">
        <f>B4-B11</f>
        <v>155</v>
      </c>
      <c r="C12" s="53">
        <f t="shared" ref="C12:BI12" si="2">C4-C11</f>
        <v>232.5</v>
      </c>
      <c r="D12" s="53">
        <f t="shared" si="2"/>
        <v>310</v>
      </c>
      <c r="E12" s="53">
        <f t="shared" si="2"/>
        <v>-445.83333333333348</v>
      </c>
      <c r="F12" s="53">
        <f t="shared" si="2"/>
        <v>-368.33333333333348</v>
      </c>
      <c r="G12" s="53">
        <f t="shared" si="2"/>
        <v>-290.83333333333348</v>
      </c>
      <c r="H12" s="53">
        <f t="shared" si="2"/>
        <v>-213.33333333333348</v>
      </c>
      <c r="I12" s="53">
        <f t="shared" si="2"/>
        <v>-135.83333333333348</v>
      </c>
      <c r="J12" s="53">
        <f t="shared" si="2"/>
        <v>-58.333333333333485</v>
      </c>
      <c r="K12" s="53">
        <f t="shared" si="2"/>
        <v>19.166666666666515</v>
      </c>
      <c r="L12" s="53">
        <f t="shared" si="2"/>
        <v>96.666666666666515</v>
      </c>
      <c r="M12" s="53">
        <f t="shared" si="2"/>
        <v>174.16666666666652</v>
      </c>
      <c r="N12" s="53">
        <f t="shared" si="2"/>
        <v>251.66666666666652</v>
      </c>
      <c r="O12" s="53">
        <f t="shared" si="2"/>
        <v>329.16666666666652</v>
      </c>
      <c r="P12" s="53">
        <f t="shared" si="2"/>
        <v>406.66666666666652</v>
      </c>
      <c r="Q12" s="53">
        <f t="shared" si="2"/>
        <v>484.16666666666652</v>
      </c>
      <c r="R12" s="53">
        <f t="shared" si="2"/>
        <v>561.66666666666652</v>
      </c>
      <c r="S12" s="53">
        <f t="shared" si="2"/>
        <v>639.16666666666652</v>
      </c>
      <c r="T12" s="53">
        <f t="shared" si="2"/>
        <v>716.66666666666652</v>
      </c>
      <c r="U12" s="53">
        <f t="shared" si="2"/>
        <v>794.16666666666652</v>
      </c>
      <c r="V12" s="53">
        <f t="shared" si="2"/>
        <v>871.66666666666652</v>
      </c>
      <c r="W12" s="53">
        <f t="shared" si="2"/>
        <v>949.16666666666652</v>
      </c>
      <c r="X12" s="53">
        <f t="shared" si="2"/>
        <v>1026.6666666666665</v>
      </c>
      <c r="Y12" s="53">
        <f t="shared" si="2"/>
        <v>1104.1666666666665</v>
      </c>
      <c r="Z12" s="53">
        <f t="shared" si="2"/>
        <v>1181.6666666666665</v>
      </c>
      <c r="AA12" s="53">
        <f t="shared" si="2"/>
        <v>1259.1666666666665</v>
      </c>
      <c r="AB12" s="53">
        <f t="shared" si="2"/>
        <v>1336.6666666666665</v>
      </c>
      <c r="AC12" s="53">
        <f t="shared" si="2"/>
        <v>1414.1666666666665</v>
      </c>
      <c r="AD12" s="53">
        <f t="shared" si="2"/>
        <v>1491.6666666666665</v>
      </c>
      <c r="AE12" s="53">
        <f t="shared" si="2"/>
        <v>1569.1666666666665</v>
      </c>
      <c r="AF12" s="53">
        <f t="shared" si="2"/>
        <v>1646.6666666666665</v>
      </c>
      <c r="AG12" s="53">
        <f t="shared" si="2"/>
        <v>1724.1666666666665</v>
      </c>
      <c r="AH12" s="53">
        <f t="shared" si="2"/>
        <v>1801.666666666667</v>
      </c>
      <c r="AI12" s="53">
        <f t="shared" si="2"/>
        <v>1879.166666666667</v>
      </c>
      <c r="AJ12" s="53">
        <f t="shared" si="2"/>
        <v>1956.666666666667</v>
      </c>
      <c r="AK12" s="53">
        <f t="shared" si="2"/>
        <v>2034.166666666667</v>
      </c>
      <c r="AL12" s="53">
        <f t="shared" si="2"/>
        <v>2111.666666666667</v>
      </c>
      <c r="AM12" s="53">
        <f t="shared" si="2"/>
        <v>2189.166666666667</v>
      </c>
      <c r="AN12" s="53">
        <f t="shared" si="2"/>
        <v>2266.666666666667</v>
      </c>
      <c r="AO12" s="53">
        <f t="shared" si="2"/>
        <v>2344.166666666667</v>
      </c>
      <c r="AP12" s="53">
        <f t="shared" si="2"/>
        <v>2421.666666666667</v>
      </c>
      <c r="AQ12" s="53">
        <f t="shared" si="2"/>
        <v>2499.166666666667</v>
      </c>
      <c r="AR12" s="53">
        <f t="shared" si="2"/>
        <v>2576.666666666667</v>
      </c>
      <c r="AS12" s="53">
        <f t="shared" si="2"/>
        <v>2654.166666666667</v>
      </c>
      <c r="AT12" s="53">
        <f t="shared" si="2"/>
        <v>2731.666666666667</v>
      </c>
      <c r="AU12" s="53">
        <f t="shared" si="2"/>
        <v>2809.166666666667</v>
      </c>
      <c r="AV12" s="53">
        <f t="shared" si="2"/>
        <v>2886.666666666667</v>
      </c>
      <c r="AW12" s="53">
        <f t="shared" si="2"/>
        <v>2964.166666666667</v>
      </c>
      <c r="AX12" s="53">
        <f t="shared" si="2"/>
        <v>3041.666666666667</v>
      </c>
      <c r="AY12" s="53">
        <f t="shared" si="2"/>
        <v>3119.166666666667</v>
      </c>
      <c r="AZ12" s="53">
        <f t="shared" si="2"/>
        <v>3196.666666666667</v>
      </c>
      <c r="BA12" s="53">
        <f t="shared" si="2"/>
        <v>3274.166666666667</v>
      </c>
      <c r="BB12" s="53">
        <f t="shared" si="2"/>
        <v>3351.666666666667</v>
      </c>
      <c r="BC12" s="53">
        <f t="shared" si="2"/>
        <v>3429.166666666667</v>
      </c>
      <c r="BD12" s="53">
        <f t="shared" si="2"/>
        <v>3506.666666666667</v>
      </c>
      <c r="BE12" s="53">
        <f t="shared" si="2"/>
        <v>3584.166666666667</v>
      </c>
      <c r="BF12" s="53">
        <f t="shared" si="2"/>
        <v>3661.666666666667</v>
      </c>
      <c r="BG12" s="53">
        <f t="shared" si="2"/>
        <v>3739.166666666667</v>
      </c>
      <c r="BH12" s="53">
        <f t="shared" si="2"/>
        <v>3816.666666666667</v>
      </c>
      <c r="BI12" s="53">
        <f t="shared" si="2"/>
        <v>3894.166666666667</v>
      </c>
      <c r="BJ12" s="45"/>
    </row>
    <row r="13" spans="1:63" ht="17">
      <c r="A13" s="3" t="s">
        <v>66</v>
      </c>
      <c r="B13" s="63">
        <f>B12/B4</f>
        <v>0.44285714285714284</v>
      </c>
      <c r="C13" s="63">
        <f t="shared" ref="C13:BI13" si="3">C12/C4</f>
        <v>0.44285714285714284</v>
      </c>
      <c r="D13" s="63">
        <f t="shared" si="3"/>
        <v>0.44285714285714284</v>
      </c>
      <c r="E13" s="63">
        <f t="shared" si="3"/>
        <v>-0.50952380952380971</v>
      </c>
      <c r="F13" s="63">
        <f t="shared" si="3"/>
        <v>-0.35079365079365094</v>
      </c>
      <c r="G13" s="63">
        <f t="shared" si="3"/>
        <v>-0.23741496598639469</v>
      </c>
      <c r="H13" s="63">
        <f t="shared" si="3"/>
        <v>-0.15238095238095248</v>
      </c>
      <c r="I13" s="63">
        <f t="shared" si="3"/>
        <v>-8.6243386243386344E-2</v>
      </c>
      <c r="J13" s="63">
        <f t="shared" si="3"/>
        <v>-3.3333333333333423E-2</v>
      </c>
      <c r="K13" s="63">
        <f t="shared" si="3"/>
        <v>9.9567099567098773E-3</v>
      </c>
      <c r="L13" s="63">
        <f t="shared" si="3"/>
        <v>4.6031746031745958E-2</v>
      </c>
      <c r="M13" s="63">
        <f t="shared" si="3"/>
        <v>7.6556776556776493E-2</v>
      </c>
      <c r="N13" s="63">
        <f t="shared" si="3"/>
        <v>0.10272108843537409</v>
      </c>
      <c r="O13" s="63">
        <f t="shared" si="3"/>
        <v>0.12539682539682534</v>
      </c>
      <c r="P13" s="63">
        <f t="shared" si="3"/>
        <v>0.14523809523809519</v>
      </c>
      <c r="Q13" s="63">
        <f t="shared" si="3"/>
        <v>0.16274509803921564</v>
      </c>
      <c r="R13" s="63">
        <f t="shared" si="3"/>
        <v>0.17830687830687825</v>
      </c>
      <c r="S13" s="63">
        <f t="shared" si="3"/>
        <v>0.19223057644110272</v>
      </c>
      <c r="T13" s="63">
        <f t="shared" si="3"/>
        <v>0.20476190476190473</v>
      </c>
      <c r="U13" s="63">
        <f t="shared" si="3"/>
        <v>0.21609977324263036</v>
      </c>
      <c r="V13" s="63">
        <f t="shared" si="3"/>
        <v>0.22640692640692636</v>
      </c>
      <c r="W13" s="63">
        <f t="shared" si="3"/>
        <v>0.23581780538302274</v>
      </c>
      <c r="X13" s="63">
        <f t="shared" si="3"/>
        <v>0.24444444444444441</v>
      </c>
      <c r="Y13" s="63">
        <f t="shared" si="3"/>
        <v>0.25238095238095237</v>
      </c>
      <c r="Z13" s="63">
        <f t="shared" si="3"/>
        <v>0.25970695970695967</v>
      </c>
      <c r="AA13" s="63">
        <f t="shared" si="3"/>
        <v>0.26649029982363315</v>
      </c>
      <c r="AB13" s="63">
        <f t="shared" si="3"/>
        <v>0.27278911564625846</v>
      </c>
      <c r="AC13" s="63">
        <f t="shared" si="3"/>
        <v>0.27865353037766827</v>
      </c>
      <c r="AD13" s="63">
        <f t="shared" si="3"/>
        <v>0.28412698412698412</v>
      </c>
      <c r="AE13" s="63">
        <f t="shared" si="3"/>
        <v>0.28924731182795699</v>
      </c>
      <c r="AF13" s="63">
        <f t="shared" si="3"/>
        <v>0.294047619047619</v>
      </c>
      <c r="AG13" s="63">
        <f t="shared" si="3"/>
        <v>0.29855699855699852</v>
      </c>
      <c r="AH13" s="63">
        <f t="shared" si="3"/>
        <v>0.30280112044817931</v>
      </c>
      <c r="AI13" s="63">
        <f t="shared" si="3"/>
        <v>0.30680272108843543</v>
      </c>
      <c r="AJ13" s="63">
        <f t="shared" si="3"/>
        <v>0.31058201058201063</v>
      </c>
      <c r="AK13" s="63">
        <f t="shared" si="3"/>
        <v>0.31415701415701419</v>
      </c>
      <c r="AL13" s="63">
        <f t="shared" si="3"/>
        <v>0.31754385964912285</v>
      </c>
      <c r="AM13" s="63">
        <f t="shared" si="3"/>
        <v>0.32075702075702078</v>
      </c>
      <c r="AN13" s="63">
        <f t="shared" si="3"/>
        <v>0.32380952380952388</v>
      </c>
      <c r="AO13" s="63">
        <f t="shared" si="3"/>
        <v>0.32671312427409993</v>
      </c>
      <c r="AP13" s="63">
        <f t="shared" si="3"/>
        <v>0.32947845804988668</v>
      </c>
      <c r="AQ13" s="63">
        <f t="shared" si="3"/>
        <v>0.33211517165005539</v>
      </c>
      <c r="AR13" s="63">
        <f t="shared" si="3"/>
        <v>0.33463203463203467</v>
      </c>
      <c r="AS13" s="63">
        <f t="shared" si="3"/>
        <v>0.33703703703703708</v>
      </c>
      <c r="AT13" s="63">
        <f t="shared" si="3"/>
        <v>0.33933747412008286</v>
      </c>
      <c r="AU13" s="63">
        <f t="shared" si="3"/>
        <v>0.34154002026342456</v>
      </c>
      <c r="AV13" s="63">
        <f t="shared" si="3"/>
        <v>0.34365079365079371</v>
      </c>
      <c r="AW13" s="63">
        <f t="shared" si="3"/>
        <v>0.34567541302235183</v>
      </c>
      <c r="AX13" s="63">
        <f t="shared" si="3"/>
        <v>0.34761904761904766</v>
      </c>
      <c r="AY13" s="63">
        <f t="shared" si="3"/>
        <v>0.34948646125116717</v>
      </c>
      <c r="AZ13" s="63">
        <f t="shared" si="3"/>
        <v>0.35128205128205131</v>
      </c>
      <c r="BA13" s="63">
        <f t="shared" si="3"/>
        <v>0.35300988319856247</v>
      </c>
      <c r="BB13" s="63">
        <f t="shared" si="3"/>
        <v>0.35467372134038805</v>
      </c>
      <c r="BC13" s="63">
        <f t="shared" si="3"/>
        <v>0.3562770562770563</v>
      </c>
      <c r="BD13" s="63">
        <f t="shared" si="3"/>
        <v>0.35782312925170073</v>
      </c>
      <c r="BE13" s="63">
        <f t="shared" si="3"/>
        <v>0.3593149540517962</v>
      </c>
      <c r="BF13" s="63">
        <f t="shared" si="3"/>
        <v>0.36075533661740561</v>
      </c>
      <c r="BG13" s="63">
        <f t="shared" si="3"/>
        <v>0.36214689265536726</v>
      </c>
      <c r="BH13" s="63">
        <f t="shared" si="3"/>
        <v>0.36349206349206353</v>
      </c>
      <c r="BI13" s="63">
        <f t="shared" si="3"/>
        <v>0.36479313036690086</v>
      </c>
      <c r="BJ13" s="45"/>
    </row>
    <row r="14" spans="1:63">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row>
    <row r="15" spans="1:63" ht="17">
      <c r="A15" s="3" t="s">
        <v>61</v>
      </c>
      <c r="B15" s="53">
        <f>OH!B10</f>
        <v>0</v>
      </c>
      <c r="C15" s="53">
        <f>OH!C10</f>
        <v>0</v>
      </c>
      <c r="D15" s="53">
        <f>OH!D10</f>
        <v>0</v>
      </c>
      <c r="E15" s="53">
        <f>OH!E10</f>
        <v>0</v>
      </c>
      <c r="F15" s="53">
        <f>OH!F10</f>
        <v>0</v>
      </c>
      <c r="G15" s="53">
        <f>OH!G10</f>
        <v>0</v>
      </c>
      <c r="H15" s="53">
        <f>OH!H10</f>
        <v>0</v>
      </c>
      <c r="I15" s="53">
        <f>OH!I10</f>
        <v>0</v>
      </c>
      <c r="J15" s="53">
        <f>OH!J10</f>
        <v>0</v>
      </c>
      <c r="K15" s="53">
        <f>OH!K10</f>
        <v>0</v>
      </c>
      <c r="L15" s="53">
        <f>OH!L10</f>
        <v>0</v>
      </c>
      <c r="M15" s="53">
        <f>OH!M10</f>
        <v>0</v>
      </c>
      <c r="N15" s="53">
        <f>OH!N10</f>
        <v>0</v>
      </c>
      <c r="O15" s="53">
        <f>OH!O10</f>
        <v>0</v>
      </c>
      <c r="P15" s="53">
        <f>OH!P10</f>
        <v>0</v>
      </c>
      <c r="Q15" s="53">
        <f>OH!Q10</f>
        <v>0</v>
      </c>
      <c r="R15" s="53">
        <f>OH!R10</f>
        <v>0</v>
      </c>
      <c r="S15" s="53">
        <f>OH!S10</f>
        <v>0</v>
      </c>
      <c r="T15" s="53">
        <f>OH!T10</f>
        <v>0</v>
      </c>
      <c r="U15" s="53">
        <f>OH!U10</f>
        <v>0</v>
      </c>
      <c r="V15" s="53">
        <f>OH!V10</f>
        <v>0</v>
      </c>
      <c r="W15" s="53">
        <f>OH!W10</f>
        <v>0</v>
      </c>
      <c r="X15" s="53">
        <f>OH!X10</f>
        <v>0</v>
      </c>
      <c r="Y15" s="53">
        <f>OH!Y10</f>
        <v>0</v>
      </c>
      <c r="Z15" s="53">
        <f>OH!Z10</f>
        <v>0</v>
      </c>
      <c r="AA15" s="53">
        <f>OH!AA10</f>
        <v>0</v>
      </c>
      <c r="AB15" s="53">
        <f>OH!AB10</f>
        <v>0</v>
      </c>
      <c r="AC15" s="53">
        <f>OH!AC10</f>
        <v>0</v>
      </c>
      <c r="AD15" s="53">
        <f>OH!AD10</f>
        <v>0</v>
      </c>
      <c r="AE15" s="53">
        <f>OH!AE10</f>
        <v>0</v>
      </c>
      <c r="AF15" s="53">
        <f>OH!AF10</f>
        <v>0</v>
      </c>
      <c r="AG15" s="53">
        <f>OH!AG10</f>
        <v>0</v>
      </c>
      <c r="AH15" s="53">
        <f>OH!AH10</f>
        <v>0</v>
      </c>
      <c r="AI15" s="53">
        <f>OH!AI10</f>
        <v>0</v>
      </c>
      <c r="AJ15" s="53">
        <f>OH!AJ10</f>
        <v>0</v>
      </c>
      <c r="AK15" s="53">
        <f>OH!AK10</f>
        <v>0</v>
      </c>
      <c r="AL15" s="53">
        <f>OH!AL10</f>
        <v>0</v>
      </c>
      <c r="AM15" s="53">
        <f>OH!AM10</f>
        <v>0</v>
      </c>
      <c r="AN15" s="53">
        <f>OH!AN10</f>
        <v>0</v>
      </c>
      <c r="AO15" s="53">
        <f>OH!AO10</f>
        <v>0</v>
      </c>
      <c r="AP15" s="53">
        <f>OH!AP10</f>
        <v>0</v>
      </c>
      <c r="AQ15" s="53">
        <f>OH!AQ10</f>
        <v>0</v>
      </c>
      <c r="AR15" s="53">
        <f>OH!AR10</f>
        <v>0</v>
      </c>
      <c r="AS15" s="53">
        <f>OH!AS10</f>
        <v>0</v>
      </c>
      <c r="AT15" s="53">
        <f>OH!AT10</f>
        <v>0</v>
      </c>
      <c r="AU15" s="53">
        <f>OH!AU10</f>
        <v>0</v>
      </c>
      <c r="AV15" s="53">
        <f>OH!AV10</f>
        <v>0</v>
      </c>
      <c r="AW15" s="53">
        <f>OH!AW10</f>
        <v>0</v>
      </c>
      <c r="AX15" s="53">
        <f>OH!AX10</f>
        <v>0</v>
      </c>
      <c r="AY15" s="53">
        <f>OH!AY10</f>
        <v>0</v>
      </c>
      <c r="AZ15" s="53">
        <f>OH!AZ10</f>
        <v>0</v>
      </c>
      <c r="BA15" s="53">
        <f>OH!BA10</f>
        <v>0</v>
      </c>
      <c r="BB15" s="53">
        <f>OH!BB10</f>
        <v>0</v>
      </c>
      <c r="BC15" s="53">
        <f>OH!BC10</f>
        <v>0</v>
      </c>
      <c r="BD15" s="53">
        <f>OH!BD10</f>
        <v>0</v>
      </c>
      <c r="BE15" s="53">
        <f>OH!BE10</f>
        <v>0</v>
      </c>
      <c r="BF15" s="53">
        <f>OH!BF10</f>
        <v>0</v>
      </c>
      <c r="BG15" s="53">
        <f>OH!BG10</f>
        <v>0</v>
      </c>
      <c r="BH15" s="53">
        <f>OH!BH10</f>
        <v>0</v>
      </c>
      <c r="BI15" s="53">
        <f>OH!BI10</f>
        <v>0</v>
      </c>
      <c r="BJ15" s="62"/>
      <c r="BK15" s="64"/>
    </row>
    <row r="16" spans="1:63" ht="17">
      <c r="A16" s="3" t="s">
        <v>62</v>
      </c>
      <c r="B16" s="53">
        <f>OH!B18</f>
        <v>0</v>
      </c>
      <c r="C16" s="53">
        <f>OH!C18</f>
        <v>0</v>
      </c>
      <c r="D16" s="53">
        <f>OH!D18</f>
        <v>0</v>
      </c>
      <c r="E16" s="53">
        <f>OH!E18</f>
        <v>0</v>
      </c>
      <c r="F16" s="53">
        <f>OH!F18</f>
        <v>0</v>
      </c>
      <c r="G16" s="53">
        <f>OH!G18</f>
        <v>0</v>
      </c>
      <c r="H16" s="53">
        <f>OH!H18</f>
        <v>0</v>
      </c>
      <c r="I16" s="53">
        <f>OH!I18</f>
        <v>0</v>
      </c>
      <c r="J16" s="53">
        <f>OH!J18</f>
        <v>0</v>
      </c>
      <c r="K16" s="53">
        <f>OH!K18</f>
        <v>0</v>
      </c>
      <c r="L16" s="53">
        <f>OH!L18</f>
        <v>0</v>
      </c>
      <c r="M16" s="53">
        <f>OH!M18</f>
        <v>0</v>
      </c>
      <c r="N16" s="53">
        <f>OH!N18</f>
        <v>0</v>
      </c>
      <c r="O16" s="53">
        <f>OH!O18</f>
        <v>0</v>
      </c>
      <c r="P16" s="53">
        <f>OH!P18</f>
        <v>0</v>
      </c>
      <c r="Q16" s="53">
        <f>OH!Q18</f>
        <v>0</v>
      </c>
      <c r="R16" s="53">
        <f>OH!R18</f>
        <v>0</v>
      </c>
      <c r="S16" s="53">
        <f>OH!S18</f>
        <v>0</v>
      </c>
      <c r="T16" s="53">
        <f>OH!T18</f>
        <v>0</v>
      </c>
      <c r="U16" s="53">
        <f>OH!U18</f>
        <v>0</v>
      </c>
      <c r="V16" s="53">
        <f>OH!V18</f>
        <v>0</v>
      </c>
      <c r="W16" s="53">
        <f>OH!W18</f>
        <v>0</v>
      </c>
      <c r="X16" s="53">
        <f>OH!X18</f>
        <v>0</v>
      </c>
      <c r="Y16" s="53">
        <f>OH!Y18</f>
        <v>0</v>
      </c>
      <c r="Z16" s="53">
        <f>OH!Z18</f>
        <v>0</v>
      </c>
      <c r="AA16" s="53">
        <f>OH!AA18</f>
        <v>0</v>
      </c>
      <c r="AB16" s="53">
        <f>OH!AB18</f>
        <v>0</v>
      </c>
      <c r="AC16" s="53">
        <f>OH!AC18</f>
        <v>0</v>
      </c>
      <c r="AD16" s="53">
        <f>OH!AD18</f>
        <v>0</v>
      </c>
      <c r="AE16" s="53">
        <f>OH!AE18</f>
        <v>0</v>
      </c>
      <c r="AF16" s="53">
        <f>OH!AF18</f>
        <v>0</v>
      </c>
      <c r="AG16" s="53">
        <f>OH!AG18</f>
        <v>0</v>
      </c>
      <c r="AH16" s="53">
        <f>OH!AH18</f>
        <v>0</v>
      </c>
      <c r="AI16" s="53">
        <f>OH!AI18</f>
        <v>0</v>
      </c>
      <c r="AJ16" s="53">
        <f>OH!AJ18</f>
        <v>0</v>
      </c>
      <c r="AK16" s="53">
        <f>OH!AK18</f>
        <v>0</v>
      </c>
      <c r="AL16" s="53">
        <f>OH!AL18</f>
        <v>0</v>
      </c>
      <c r="AM16" s="53">
        <f>OH!AM18</f>
        <v>0</v>
      </c>
      <c r="AN16" s="53">
        <f>OH!AN18</f>
        <v>0</v>
      </c>
      <c r="AO16" s="53">
        <f>OH!AO18</f>
        <v>0</v>
      </c>
      <c r="AP16" s="53">
        <f>OH!AP18</f>
        <v>0</v>
      </c>
      <c r="AQ16" s="53">
        <f>OH!AQ18</f>
        <v>0</v>
      </c>
      <c r="AR16" s="53">
        <f>OH!AR18</f>
        <v>0</v>
      </c>
      <c r="AS16" s="53">
        <f>OH!AS18</f>
        <v>0</v>
      </c>
      <c r="AT16" s="53">
        <f>OH!AT18</f>
        <v>0</v>
      </c>
      <c r="AU16" s="53">
        <f>OH!AU18</f>
        <v>0</v>
      </c>
      <c r="AV16" s="53">
        <f>OH!AV18</f>
        <v>0</v>
      </c>
      <c r="AW16" s="53">
        <f>OH!AW18</f>
        <v>0</v>
      </c>
      <c r="AX16" s="53">
        <f>OH!AX18</f>
        <v>0</v>
      </c>
      <c r="AY16" s="53">
        <f>OH!AY18</f>
        <v>0</v>
      </c>
      <c r="AZ16" s="53">
        <f>OH!AZ18</f>
        <v>0</v>
      </c>
      <c r="BA16" s="53">
        <f>OH!BA18</f>
        <v>0</v>
      </c>
      <c r="BB16" s="53">
        <f>OH!BB18</f>
        <v>0</v>
      </c>
      <c r="BC16" s="53">
        <f>OH!BC18</f>
        <v>0</v>
      </c>
      <c r="BD16" s="53">
        <f>OH!BD18</f>
        <v>0</v>
      </c>
      <c r="BE16" s="53">
        <f>OH!BE18</f>
        <v>0</v>
      </c>
      <c r="BF16" s="53">
        <f>OH!BF18</f>
        <v>0</v>
      </c>
      <c r="BG16" s="53">
        <f>OH!BG18</f>
        <v>0</v>
      </c>
      <c r="BH16" s="53">
        <f>OH!BH18</f>
        <v>0</v>
      </c>
      <c r="BI16" s="53">
        <f>OH!BI18</f>
        <v>0</v>
      </c>
      <c r="BJ16" s="62"/>
      <c r="BK16" s="64"/>
    </row>
    <row r="17" spans="1:63" ht="17">
      <c r="A17" s="3" t="s">
        <v>63</v>
      </c>
      <c r="B17" s="53">
        <f>OH!B26</f>
        <v>0</v>
      </c>
      <c r="C17" s="53">
        <f>OH!C26</f>
        <v>0</v>
      </c>
      <c r="D17" s="53">
        <f>OH!D26</f>
        <v>0</v>
      </c>
      <c r="E17" s="53">
        <f>OH!E26</f>
        <v>0</v>
      </c>
      <c r="F17" s="53">
        <f>OH!F26</f>
        <v>0</v>
      </c>
      <c r="G17" s="53">
        <f>OH!G26</f>
        <v>0</v>
      </c>
      <c r="H17" s="53">
        <f>OH!H26</f>
        <v>0</v>
      </c>
      <c r="I17" s="53">
        <f>OH!I26</f>
        <v>0</v>
      </c>
      <c r="J17" s="53">
        <f>OH!J26</f>
        <v>0</v>
      </c>
      <c r="K17" s="53">
        <f>OH!K26</f>
        <v>0</v>
      </c>
      <c r="L17" s="53">
        <f>OH!L26</f>
        <v>0</v>
      </c>
      <c r="M17" s="53">
        <f>OH!M26</f>
        <v>0</v>
      </c>
      <c r="N17" s="53">
        <f>OH!N26</f>
        <v>0</v>
      </c>
      <c r="O17" s="53">
        <f>OH!O26</f>
        <v>0</v>
      </c>
      <c r="P17" s="53">
        <f>OH!P26</f>
        <v>0</v>
      </c>
      <c r="Q17" s="53">
        <f>OH!Q26</f>
        <v>0</v>
      </c>
      <c r="R17" s="53">
        <f>OH!R26</f>
        <v>0</v>
      </c>
      <c r="S17" s="53">
        <f>OH!S26</f>
        <v>0</v>
      </c>
      <c r="T17" s="53">
        <f>OH!T26</f>
        <v>0</v>
      </c>
      <c r="U17" s="53">
        <f>OH!U26</f>
        <v>0</v>
      </c>
      <c r="V17" s="53">
        <f>OH!V26</f>
        <v>0</v>
      </c>
      <c r="W17" s="53">
        <f>OH!W26</f>
        <v>0</v>
      </c>
      <c r="X17" s="53">
        <f>OH!X26</f>
        <v>0</v>
      </c>
      <c r="Y17" s="53">
        <f>OH!Y26</f>
        <v>0</v>
      </c>
      <c r="Z17" s="53">
        <f>OH!Z26</f>
        <v>0</v>
      </c>
      <c r="AA17" s="53">
        <f>OH!AA26</f>
        <v>0</v>
      </c>
      <c r="AB17" s="53">
        <f>OH!AB26</f>
        <v>0</v>
      </c>
      <c r="AC17" s="53">
        <f>OH!AC26</f>
        <v>0</v>
      </c>
      <c r="AD17" s="53">
        <f>OH!AD26</f>
        <v>0</v>
      </c>
      <c r="AE17" s="53">
        <f>OH!AE26</f>
        <v>0</v>
      </c>
      <c r="AF17" s="53">
        <f>OH!AF26</f>
        <v>0</v>
      </c>
      <c r="AG17" s="53">
        <f>OH!AG26</f>
        <v>0</v>
      </c>
      <c r="AH17" s="53">
        <f>OH!AH26</f>
        <v>0</v>
      </c>
      <c r="AI17" s="53">
        <f>OH!AI26</f>
        <v>0</v>
      </c>
      <c r="AJ17" s="53">
        <f>OH!AJ26</f>
        <v>0</v>
      </c>
      <c r="AK17" s="53">
        <f>OH!AK26</f>
        <v>0</v>
      </c>
      <c r="AL17" s="53">
        <f>OH!AL26</f>
        <v>0</v>
      </c>
      <c r="AM17" s="53">
        <f>OH!AM26</f>
        <v>0</v>
      </c>
      <c r="AN17" s="53">
        <f>OH!AN26</f>
        <v>0</v>
      </c>
      <c r="AO17" s="53">
        <f>OH!AO26</f>
        <v>0</v>
      </c>
      <c r="AP17" s="53">
        <f>OH!AP26</f>
        <v>0</v>
      </c>
      <c r="AQ17" s="53">
        <f>OH!AQ26</f>
        <v>0</v>
      </c>
      <c r="AR17" s="53">
        <f>OH!AR26</f>
        <v>0</v>
      </c>
      <c r="AS17" s="53">
        <f>OH!AS26</f>
        <v>0</v>
      </c>
      <c r="AT17" s="53">
        <f>OH!AT26</f>
        <v>0</v>
      </c>
      <c r="AU17" s="53">
        <f>OH!AU26</f>
        <v>0</v>
      </c>
      <c r="AV17" s="53">
        <f>OH!AV26</f>
        <v>0</v>
      </c>
      <c r="AW17" s="53">
        <f>OH!AW26</f>
        <v>0</v>
      </c>
      <c r="AX17" s="53">
        <f>OH!AX26</f>
        <v>0</v>
      </c>
      <c r="AY17" s="53">
        <f>OH!AY26</f>
        <v>0</v>
      </c>
      <c r="AZ17" s="53">
        <f>OH!AZ26</f>
        <v>0</v>
      </c>
      <c r="BA17" s="53">
        <f>OH!BA26</f>
        <v>0</v>
      </c>
      <c r="BB17" s="53">
        <f>OH!BB26</f>
        <v>0</v>
      </c>
      <c r="BC17" s="53">
        <f>OH!BC26</f>
        <v>0</v>
      </c>
      <c r="BD17" s="53">
        <f>OH!BD26</f>
        <v>0</v>
      </c>
      <c r="BE17" s="53">
        <f>OH!BE26</f>
        <v>0</v>
      </c>
      <c r="BF17" s="53">
        <f>OH!BF26</f>
        <v>0</v>
      </c>
      <c r="BG17" s="53">
        <f>OH!BG26</f>
        <v>0</v>
      </c>
      <c r="BH17" s="53">
        <f>OH!BH26</f>
        <v>0</v>
      </c>
      <c r="BI17" s="53">
        <f>OH!BI26</f>
        <v>0</v>
      </c>
      <c r="BJ17" s="62"/>
      <c r="BK17" s="64"/>
    </row>
    <row r="18" spans="1:63" ht="17">
      <c r="A18" s="3" t="s">
        <v>118</v>
      </c>
      <c r="B18" s="53">
        <f>Bal!C25*Para!$C$32/12</f>
        <v>833.33333333333337</v>
      </c>
      <c r="C18" s="53">
        <f>B18</f>
        <v>833.33333333333337</v>
      </c>
      <c r="D18" s="53">
        <f>C18</f>
        <v>833.33333333333337</v>
      </c>
      <c r="E18" s="53">
        <f>Bal!D25*Para!$C$32/12</f>
        <v>833.33333333333337</v>
      </c>
      <c r="F18" s="53">
        <f>E18</f>
        <v>833.33333333333337</v>
      </c>
      <c r="G18" s="53">
        <f>F18</f>
        <v>833.33333333333337</v>
      </c>
      <c r="H18" s="53">
        <f>Bal!E25*Para!$C$32/12</f>
        <v>833.33333333333337</v>
      </c>
      <c r="I18" s="53">
        <f>H18</f>
        <v>833.33333333333337</v>
      </c>
      <c r="J18" s="53">
        <f>I18</f>
        <v>833.33333333333337</v>
      </c>
      <c r="K18" s="53">
        <f>Bal!F25*Para!$C$32/12</f>
        <v>833.33333333333337</v>
      </c>
      <c r="L18" s="53">
        <f>K18</f>
        <v>833.33333333333337</v>
      </c>
      <c r="M18" s="53">
        <f>L18</f>
        <v>833.33333333333337</v>
      </c>
      <c r="N18" s="53">
        <f>Bal!G25*Para!$C$32/12</f>
        <v>833.33333333333337</v>
      </c>
      <c r="O18" s="53">
        <f>N18</f>
        <v>833.33333333333337</v>
      </c>
      <c r="P18" s="53">
        <f>O18</f>
        <v>833.33333333333337</v>
      </c>
      <c r="Q18" s="53">
        <f>Bal!H25*Para!$C$32/12</f>
        <v>833.33333333333337</v>
      </c>
      <c r="R18" s="53">
        <f>Q18</f>
        <v>833.33333333333337</v>
      </c>
      <c r="S18" s="53">
        <f>R18</f>
        <v>833.33333333333337</v>
      </c>
      <c r="T18" s="53">
        <f>Bal!I25*Para!$C$32/12</f>
        <v>833.33333333333337</v>
      </c>
      <c r="U18" s="53">
        <f>T18</f>
        <v>833.33333333333337</v>
      </c>
      <c r="V18" s="53">
        <f>U18</f>
        <v>833.33333333333337</v>
      </c>
      <c r="W18" s="53">
        <f>Bal!J25*Para!$C$32/12</f>
        <v>833.33333333333337</v>
      </c>
      <c r="X18" s="53">
        <f>W18</f>
        <v>833.33333333333337</v>
      </c>
      <c r="Y18" s="53">
        <f>X18</f>
        <v>833.33333333333337</v>
      </c>
      <c r="Z18" s="53">
        <f>Bal!K25*Para!$C$32/12</f>
        <v>833.33333333333337</v>
      </c>
      <c r="AA18" s="53">
        <f>Z18</f>
        <v>833.33333333333337</v>
      </c>
      <c r="AB18" s="53">
        <f>AA18</f>
        <v>833.33333333333337</v>
      </c>
      <c r="AC18" s="53">
        <f>Bal!L25*Para!$C$32/12</f>
        <v>833.33333333333337</v>
      </c>
      <c r="AD18" s="53">
        <f>AC18</f>
        <v>833.33333333333337</v>
      </c>
      <c r="AE18" s="53">
        <f>AD18</f>
        <v>833.33333333333337</v>
      </c>
      <c r="AF18" s="53">
        <f>Bal!M25*Para!$C$32/12</f>
        <v>833.33333333333337</v>
      </c>
      <c r="AG18" s="53">
        <f>AF18</f>
        <v>833.33333333333337</v>
      </c>
      <c r="AH18" s="53">
        <f>AG18</f>
        <v>833.33333333333337</v>
      </c>
      <c r="AI18" s="53">
        <f>Bal!N25*Para!$C$32/12</f>
        <v>833.33333333333337</v>
      </c>
      <c r="AJ18" s="53">
        <f>AI18</f>
        <v>833.33333333333337</v>
      </c>
      <c r="AK18" s="53">
        <f>AJ18</f>
        <v>833.33333333333337</v>
      </c>
      <c r="AL18" s="53">
        <f>Bal!O25*Para!$C$32/12</f>
        <v>833.33333333333337</v>
      </c>
      <c r="AM18" s="53">
        <f>AL18</f>
        <v>833.33333333333337</v>
      </c>
      <c r="AN18" s="53">
        <f>AM18</f>
        <v>833.33333333333337</v>
      </c>
      <c r="AO18" s="53">
        <f>Bal!P25*Para!$C$32/12</f>
        <v>833.33333333333337</v>
      </c>
      <c r="AP18" s="53">
        <f>AO18</f>
        <v>833.33333333333337</v>
      </c>
      <c r="AQ18" s="53">
        <f>AP18</f>
        <v>833.33333333333337</v>
      </c>
      <c r="AR18" s="53">
        <f>Bal!Q25*Para!$C$32/12</f>
        <v>833.33333333333337</v>
      </c>
      <c r="AS18" s="53">
        <f>AR18</f>
        <v>833.33333333333337</v>
      </c>
      <c r="AT18" s="53">
        <f>AS18</f>
        <v>833.33333333333337</v>
      </c>
      <c r="AU18" s="53">
        <f>Bal!R25*Para!$C$32/12</f>
        <v>833.33333333333337</v>
      </c>
      <c r="AV18" s="53">
        <f>AU18</f>
        <v>833.33333333333337</v>
      </c>
      <c r="AW18" s="53">
        <f>AV18</f>
        <v>833.33333333333337</v>
      </c>
      <c r="AX18" s="53">
        <f>Bal!S25*Para!$C$32/12</f>
        <v>833.33333333333337</v>
      </c>
      <c r="AY18" s="53">
        <f>AX18</f>
        <v>833.33333333333337</v>
      </c>
      <c r="AZ18" s="53">
        <f>AY18</f>
        <v>833.33333333333337</v>
      </c>
      <c r="BA18" s="53">
        <f>Bal!T25*Para!$C$32/12</f>
        <v>833.33333333333337</v>
      </c>
      <c r="BB18" s="53">
        <f>BA18</f>
        <v>833.33333333333337</v>
      </c>
      <c r="BC18" s="53">
        <f>BB18</f>
        <v>833.33333333333337</v>
      </c>
      <c r="BD18" s="53">
        <f>Bal!U25*Para!$C$32/12</f>
        <v>833.33333333333337</v>
      </c>
      <c r="BE18" s="53">
        <f>BD18</f>
        <v>833.33333333333337</v>
      </c>
      <c r="BF18" s="53">
        <f>BE18</f>
        <v>833.33333333333337</v>
      </c>
      <c r="BG18" s="53">
        <f>Bal!V25*Para!$C$32/12</f>
        <v>833.33333333333337</v>
      </c>
      <c r="BH18" s="53">
        <f>BG18</f>
        <v>833.33333333333337</v>
      </c>
      <c r="BI18" s="53">
        <f>BH18</f>
        <v>833.33333333333337</v>
      </c>
      <c r="BJ18" s="62"/>
      <c r="BK18" s="64"/>
    </row>
    <row r="19" spans="1:63" ht="17">
      <c r="A19" s="3" t="s">
        <v>64</v>
      </c>
      <c r="B19" s="53">
        <f>OH!B34</f>
        <v>0</v>
      </c>
      <c r="C19" s="53">
        <f>OH!C34</f>
        <v>0</v>
      </c>
      <c r="D19" s="53">
        <f>OH!D34</f>
        <v>0</v>
      </c>
      <c r="E19" s="53">
        <f>OH!E34</f>
        <v>0</v>
      </c>
      <c r="F19" s="53">
        <f>OH!F34</f>
        <v>0</v>
      </c>
      <c r="G19" s="53">
        <f>OH!G34</f>
        <v>0</v>
      </c>
      <c r="H19" s="53">
        <f>OH!H34</f>
        <v>0</v>
      </c>
      <c r="I19" s="53">
        <f>OH!I34</f>
        <v>0</v>
      </c>
      <c r="J19" s="53">
        <f>OH!J34</f>
        <v>0</v>
      </c>
      <c r="K19" s="53">
        <f>OH!K34</f>
        <v>0</v>
      </c>
      <c r="L19" s="53">
        <f>OH!L34</f>
        <v>0</v>
      </c>
      <c r="M19" s="53">
        <f>OH!M34</f>
        <v>0</v>
      </c>
      <c r="N19" s="53">
        <f>OH!N34</f>
        <v>0</v>
      </c>
      <c r="O19" s="53">
        <f>OH!O34</f>
        <v>0</v>
      </c>
      <c r="P19" s="53">
        <f>OH!P34</f>
        <v>0</v>
      </c>
      <c r="Q19" s="53">
        <f>OH!Q34</f>
        <v>0</v>
      </c>
      <c r="R19" s="53">
        <f>OH!R34</f>
        <v>0</v>
      </c>
      <c r="S19" s="53">
        <f>OH!S34</f>
        <v>0</v>
      </c>
      <c r="T19" s="53">
        <f>OH!T34</f>
        <v>0</v>
      </c>
      <c r="U19" s="53">
        <f>OH!U34</f>
        <v>0</v>
      </c>
      <c r="V19" s="53">
        <f>OH!V34</f>
        <v>0</v>
      </c>
      <c r="W19" s="53">
        <f>OH!W34</f>
        <v>0</v>
      </c>
      <c r="X19" s="53">
        <f>OH!X34</f>
        <v>0</v>
      </c>
      <c r="Y19" s="53">
        <f>OH!Y34</f>
        <v>0</v>
      </c>
      <c r="Z19" s="53">
        <f>OH!Z34</f>
        <v>0</v>
      </c>
      <c r="AA19" s="53">
        <f>OH!AA34</f>
        <v>0</v>
      </c>
      <c r="AB19" s="53">
        <f>OH!AB34</f>
        <v>0</v>
      </c>
      <c r="AC19" s="53">
        <f>OH!AC34</f>
        <v>0</v>
      </c>
      <c r="AD19" s="53">
        <f>OH!AD34</f>
        <v>0</v>
      </c>
      <c r="AE19" s="53">
        <f>OH!AE34</f>
        <v>0</v>
      </c>
      <c r="AF19" s="53">
        <f>OH!AF34</f>
        <v>0</v>
      </c>
      <c r="AG19" s="53">
        <f>OH!AG34</f>
        <v>0</v>
      </c>
      <c r="AH19" s="53">
        <f>OH!AH34</f>
        <v>0</v>
      </c>
      <c r="AI19" s="53">
        <f>OH!AI34</f>
        <v>0</v>
      </c>
      <c r="AJ19" s="53">
        <f>OH!AJ34</f>
        <v>0</v>
      </c>
      <c r="AK19" s="53">
        <f>OH!AK34</f>
        <v>0</v>
      </c>
      <c r="AL19" s="53">
        <f>OH!AL34</f>
        <v>0</v>
      </c>
      <c r="AM19" s="53">
        <f>OH!AM34</f>
        <v>0</v>
      </c>
      <c r="AN19" s="53">
        <f>OH!AN34</f>
        <v>0</v>
      </c>
      <c r="AO19" s="53">
        <f>OH!AO34</f>
        <v>0</v>
      </c>
      <c r="AP19" s="53">
        <f>OH!AP34</f>
        <v>0</v>
      </c>
      <c r="AQ19" s="53">
        <f>OH!AQ34</f>
        <v>0</v>
      </c>
      <c r="AR19" s="53">
        <f>OH!AR34</f>
        <v>0</v>
      </c>
      <c r="AS19" s="53">
        <f>OH!AS34</f>
        <v>0</v>
      </c>
      <c r="AT19" s="53">
        <f>OH!AT34</f>
        <v>0</v>
      </c>
      <c r="AU19" s="53">
        <f>OH!AU34</f>
        <v>0</v>
      </c>
      <c r="AV19" s="53">
        <f>OH!AV34</f>
        <v>0</v>
      </c>
      <c r="AW19" s="53">
        <f>OH!AW34</f>
        <v>0</v>
      </c>
      <c r="AX19" s="53">
        <f>OH!AX34</f>
        <v>0</v>
      </c>
      <c r="AY19" s="53">
        <f>OH!AY34</f>
        <v>0</v>
      </c>
      <c r="AZ19" s="53">
        <f>OH!AZ34</f>
        <v>0</v>
      </c>
      <c r="BA19" s="53">
        <f>OH!BA34</f>
        <v>0</v>
      </c>
      <c r="BB19" s="53">
        <f>OH!BB34</f>
        <v>0</v>
      </c>
      <c r="BC19" s="53">
        <f>OH!BC34</f>
        <v>0</v>
      </c>
      <c r="BD19" s="53">
        <f>OH!BD34</f>
        <v>0</v>
      </c>
      <c r="BE19" s="53">
        <f>OH!BE34</f>
        <v>0</v>
      </c>
      <c r="BF19" s="53">
        <f>OH!BF34</f>
        <v>0</v>
      </c>
      <c r="BG19" s="53">
        <f>OH!BG34</f>
        <v>0</v>
      </c>
      <c r="BH19" s="53">
        <f>OH!BH34</f>
        <v>0</v>
      </c>
      <c r="BI19" s="53">
        <f>OH!BI34</f>
        <v>0</v>
      </c>
      <c r="BJ19" s="62"/>
      <c r="BK19" s="64"/>
    </row>
    <row r="20" spans="1:63">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4"/>
    </row>
    <row r="21" spans="1:63" ht="17">
      <c r="A21" s="3" t="s">
        <v>32</v>
      </c>
      <c r="B21" s="53">
        <f>SUM(B15:B19)</f>
        <v>833.33333333333337</v>
      </c>
      <c r="C21" s="53">
        <f t="shared" ref="C21:BI21" si="4">SUM(C15:C19)</f>
        <v>833.33333333333337</v>
      </c>
      <c r="D21" s="53">
        <f t="shared" si="4"/>
        <v>833.33333333333337</v>
      </c>
      <c r="E21" s="53">
        <f t="shared" si="4"/>
        <v>833.33333333333337</v>
      </c>
      <c r="F21" s="53">
        <f t="shared" si="4"/>
        <v>833.33333333333337</v>
      </c>
      <c r="G21" s="53">
        <f t="shared" si="4"/>
        <v>833.33333333333337</v>
      </c>
      <c r="H21" s="53">
        <f t="shared" si="4"/>
        <v>833.33333333333337</v>
      </c>
      <c r="I21" s="53">
        <f t="shared" si="4"/>
        <v>833.33333333333337</v>
      </c>
      <c r="J21" s="53">
        <f t="shared" si="4"/>
        <v>833.33333333333337</v>
      </c>
      <c r="K21" s="53">
        <f t="shared" si="4"/>
        <v>833.33333333333337</v>
      </c>
      <c r="L21" s="53">
        <f t="shared" si="4"/>
        <v>833.33333333333337</v>
      </c>
      <c r="M21" s="53">
        <f t="shared" si="4"/>
        <v>833.33333333333337</v>
      </c>
      <c r="N21" s="53">
        <f t="shared" si="4"/>
        <v>833.33333333333337</v>
      </c>
      <c r="O21" s="53">
        <f t="shared" si="4"/>
        <v>833.33333333333337</v>
      </c>
      <c r="P21" s="53">
        <f t="shared" si="4"/>
        <v>833.33333333333337</v>
      </c>
      <c r="Q21" s="53">
        <f t="shared" si="4"/>
        <v>833.33333333333337</v>
      </c>
      <c r="R21" s="53">
        <f t="shared" si="4"/>
        <v>833.33333333333337</v>
      </c>
      <c r="S21" s="53">
        <f t="shared" si="4"/>
        <v>833.33333333333337</v>
      </c>
      <c r="T21" s="53">
        <f t="shared" si="4"/>
        <v>833.33333333333337</v>
      </c>
      <c r="U21" s="53">
        <f t="shared" si="4"/>
        <v>833.33333333333337</v>
      </c>
      <c r="V21" s="53">
        <f t="shared" si="4"/>
        <v>833.33333333333337</v>
      </c>
      <c r="W21" s="53">
        <f t="shared" si="4"/>
        <v>833.33333333333337</v>
      </c>
      <c r="X21" s="53">
        <f t="shared" si="4"/>
        <v>833.33333333333337</v>
      </c>
      <c r="Y21" s="53">
        <f t="shared" si="4"/>
        <v>833.33333333333337</v>
      </c>
      <c r="Z21" s="53">
        <f t="shared" si="4"/>
        <v>833.33333333333337</v>
      </c>
      <c r="AA21" s="53">
        <f t="shared" si="4"/>
        <v>833.33333333333337</v>
      </c>
      <c r="AB21" s="53">
        <f t="shared" si="4"/>
        <v>833.33333333333337</v>
      </c>
      <c r="AC21" s="53">
        <f t="shared" si="4"/>
        <v>833.33333333333337</v>
      </c>
      <c r="AD21" s="53">
        <f t="shared" si="4"/>
        <v>833.33333333333337</v>
      </c>
      <c r="AE21" s="53">
        <f t="shared" si="4"/>
        <v>833.33333333333337</v>
      </c>
      <c r="AF21" s="53">
        <f t="shared" si="4"/>
        <v>833.33333333333337</v>
      </c>
      <c r="AG21" s="53">
        <f t="shared" si="4"/>
        <v>833.33333333333337</v>
      </c>
      <c r="AH21" s="53">
        <f t="shared" si="4"/>
        <v>833.33333333333337</v>
      </c>
      <c r="AI21" s="53">
        <f t="shared" si="4"/>
        <v>833.33333333333337</v>
      </c>
      <c r="AJ21" s="53">
        <f t="shared" si="4"/>
        <v>833.33333333333337</v>
      </c>
      <c r="AK21" s="53">
        <f t="shared" si="4"/>
        <v>833.33333333333337</v>
      </c>
      <c r="AL21" s="53">
        <f t="shared" si="4"/>
        <v>833.33333333333337</v>
      </c>
      <c r="AM21" s="53">
        <f t="shared" si="4"/>
        <v>833.33333333333337</v>
      </c>
      <c r="AN21" s="53">
        <f t="shared" si="4"/>
        <v>833.33333333333337</v>
      </c>
      <c r="AO21" s="53">
        <f t="shared" si="4"/>
        <v>833.33333333333337</v>
      </c>
      <c r="AP21" s="53">
        <f t="shared" si="4"/>
        <v>833.33333333333337</v>
      </c>
      <c r="AQ21" s="53">
        <f t="shared" si="4"/>
        <v>833.33333333333337</v>
      </c>
      <c r="AR21" s="53">
        <f t="shared" si="4"/>
        <v>833.33333333333337</v>
      </c>
      <c r="AS21" s="53">
        <f t="shared" si="4"/>
        <v>833.33333333333337</v>
      </c>
      <c r="AT21" s="53">
        <f t="shared" si="4"/>
        <v>833.33333333333337</v>
      </c>
      <c r="AU21" s="53">
        <f t="shared" si="4"/>
        <v>833.33333333333337</v>
      </c>
      <c r="AV21" s="53">
        <f t="shared" si="4"/>
        <v>833.33333333333337</v>
      </c>
      <c r="AW21" s="53">
        <f t="shared" si="4"/>
        <v>833.33333333333337</v>
      </c>
      <c r="AX21" s="53">
        <f t="shared" si="4"/>
        <v>833.33333333333337</v>
      </c>
      <c r="AY21" s="53">
        <f t="shared" si="4"/>
        <v>833.33333333333337</v>
      </c>
      <c r="AZ21" s="53">
        <f t="shared" si="4"/>
        <v>833.33333333333337</v>
      </c>
      <c r="BA21" s="53">
        <f t="shared" si="4"/>
        <v>833.33333333333337</v>
      </c>
      <c r="BB21" s="53">
        <f t="shared" si="4"/>
        <v>833.33333333333337</v>
      </c>
      <c r="BC21" s="53">
        <f t="shared" si="4"/>
        <v>833.33333333333337</v>
      </c>
      <c r="BD21" s="53">
        <f t="shared" si="4"/>
        <v>833.33333333333337</v>
      </c>
      <c r="BE21" s="53">
        <f t="shared" si="4"/>
        <v>833.33333333333337</v>
      </c>
      <c r="BF21" s="53">
        <f t="shared" si="4"/>
        <v>833.33333333333337</v>
      </c>
      <c r="BG21" s="53">
        <f t="shared" si="4"/>
        <v>833.33333333333337</v>
      </c>
      <c r="BH21" s="53">
        <f t="shared" si="4"/>
        <v>833.33333333333337</v>
      </c>
      <c r="BI21" s="53">
        <f t="shared" si="4"/>
        <v>833.33333333333337</v>
      </c>
      <c r="BJ21" s="62"/>
      <c r="BK21" s="64"/>
    </row>
    <row r="22" spans="1:63">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4"/>
    </row>
    <row r="23" spans="1:63" ht="17">
      <c r="A23" s="3" t="s">
        <v>67</v>
      </c>
      <c r="B23" s="53">
        <f>B12-B21</f>
        <v>-678.33333333333337</v>
      </c>
      <c r="C23" s="53">
        <f t="shared" ref="C23:BI23" si="5">C12-C21</f>
        <v>-600.83333333333337</v>
      </c>
      <c r="D23" s="53">
        <f t="shared" si="5"/>
        <v>-523.33333333333337</v>
      </c>
      <c r="E23" s="53">
        <f t="shared" si="5"/>
        <v>-1279.166666666667</v>
      </c>
      <c r="F23" s="53">
        <f t="shared" si="5"/>
        <v>-1201.666666666667</v>
      </c>
      <c r="G23" s="53">
        <f t="shared" si="5"/>
        <v>-1124.166666666667</v>
      </c>
      <c r="H23" s="53">
        <f t="shared" si="5"/>
        <v>-1046.666666666667</v>
      </c>
      <c r="I23" s="53">
        <f t="shared" si="5"/>
        <v>-969.16666666666686</v>
      </c>
      <c r="J23" s="53">
        <f t="shared" si="5"/>
        <v>-891.66666666666686</v>
      </c>
      <c r="K23" s="53">
        <f t="shared" si="5"/>
        <v>-814.16666666666686</v>
      </c>
      <c r="L23" s="53">
        <f t="shared" si="5"/>
        <v>-736.66666666666686</v>
      </c>
      <c r="M23" s="53">
        <f t="shared" si="5"/>
        <v>-659.16666666666686</v>
      </c>
      <c r="N23" s="53">
        <f t="shared" si="5"/>
        <v>-581.66666666666686</v>
      </c>
      <c r="O23" s="53">
        <f t="shared" si="5"/>
        <v>-504.16666666666686</v>
      </c>
      <c r="P23" s="53">
        <f t="shared" si="5"/>
        <v>-426.66666666666686</v>
      </c>
      <c r="Q23" s="53">
        <f t="shared" si="5"/>
        <v>-349.16666666666686</v>
      </c>
      <c r="R23" s="53">
        <f t="shared" si="5"/>
        <v>-271.66666666666686</v>
      </c>
      <c r="S23" s="53">
        <f t="shared" si="5"/>
        <v>-194.16666666666686</v>
      </c>
      <c r="T23" s="53">
        <f t="shared" si="5"/>
        <v>-116.66666666666686</v>
      </c>
      <c r="U23" s="53">
        <f t="shared" si="5"/>
        <v>-39.166666666666856</v>
      </c>
      <c r="V23" s="53">
        <f t="shared" si="5"/>
        <v>38.333333333333144</v>
      </c>
      <c r="W23" s="53">
        <f t="shared" si="5"/>
        <v>115.83333333333314</v>
      </c>
      <c r="X23" s="53">
        <f t="shared" si="5"/>
        <v>193.33333333333314</v>
      </c>
      <c r="Y23" s="53">
        <f t="shared" si="5"/>
        <v>270.83333333333314</v>
      </c>
      <c r="Z23" s="53">
        <f t="shared" si="5"/>
        <v>348.33333333333314</v>
      </c>
      <c r="AA23" s="53">
        <f t="shared" si="5"/>
        <v>425.83333333333314</v>
      </c>
      <c r="AB23" s="53">
        <f t="shared" si="5"/>
        <v>503.33333333333314</v>
      </c>
      <c r="AC23" s="53">
        <f t="shared" si="5"/>
        <v>580.83333333333314</v>
      </c>
      <c r="AD23" s="53">
        <f t="shared" si="5"/>
        <v>658.33333333333314</v>
      </c>
      <c r="AE23" s="53">
        <f t="shared" si="5"/>
        <v>735.83333333333314</v>
      </c>
      <c r="AF23" s="53">
        <f t="shared" si="5"/>
        <v>813.33333333333314</v>
      </c>
      <c r="AG23" s="53">
        <f t="shared" si="5"/>
        <v>890.83333333333314</v>
      </c>
      <c r="AH23" s="53">
        <f t="shared" si="5"/>
        <v>968.3333333333336</v>
      </c>
      <c r="AI23" s="53">
        <f t="shared" si="5"/>
        <v>1045.8333333333335</v>
      </c>
      <c r="AJ23" s="53">
        <f t="shared" si="5"/>
        <v>1123.3333333333335</v>
      </c>
      <c r="AK23" s="53">
        <f t="shared" si="5"/>
        <v>1200.8333333333335</v>
      </c>
      <c r="AL23" s="53">
        <f t="shared" si="5"/>
        <v>1278.3333333333335</v>
      </c>
      <c r="AM23" s="53">
        <f t="shared" si="5"/>
        <v>1355.8333333333335</v>
      </c>
      <c r="AN23" s="53">
        <f t="shared" si="5"/>
        <v>1433.3333333333335</v>
      </c>
      <c r="AO23" s="53">
        <f t="shared" si="5"/>
        <v>1510.8333333333335</v>
      </c>
      <c r="AP23" s="53">
        <f t="shared" si="5"/>
        <v>1588.3333333333335</v>
      </c>
      <c r="AQ23" s="53">
        <f t="shared" si="5"/>
        <v>1665.8333333333335</v>
      </c>
      <c r="AR23" s="53">
        <f t="shared" si="5"/>
        <v>1743.3333333333335</v>
      </c>
      <c r="AS23" s="53">
        <f t="shared" si="5"/>
        <v>1820.8333333333335</v>
      </c>
      <c r="AT23" s="53">
        <f t="shared" si="5"/>
        <v>1898.3333333333335</v>
      </c>
      <c r="AU23" s="53">
        <f t="shared" si="5"/>
        <v>1975.8333333333335</v>
      </c>
      <c r="AV23" s="53">
        <f t="shared" si="5"/>
        <v>2053.3333333333335</v>
      </c>
      <c r="AW23" s="53">
        <f t="shared" si="5"/>
        <v>2130.8333333333335</v>
      </c>
      <c r="AX23" s="53">
        <f t="shared" si="5"/>
        <v>2208.3333333333335</v>
      </c>
      <c r="AY23" s="53">
        <f t="shared" si="5"/>
        <v>2285.8333333333335</v>
      </c>
      <c r="AZ23" s="53">
        <f t="shared" si="5"/>
        <v>2363.3333333333335</v>
      </c>
      <c r="BA23" s="53">
        <f t="shared" si="5"/>
        <v>2440.8333333333335</v>
      </c>
      <c r="BB23" s="53">
        <f t="shared" si="5"/>
        <v>2518.3333333333335</v>
      </c>
      <c r="BC23" s="53">
        <f t="shared" si="5"/>
        <v>2595.8333333333335</v>
      </c>
      <c r="BD23" s="53">
        <f t="shared" si="5"/>
        <v>2673.3333333333335</v>
      </c>
      <c r="BE23" s="53">
        <f t="shared" si="5"/>
        <v>2750.8333333333335</v>
      </c>
      <c r="BF23" s="53">
        <f t="shared" si="5"/>
        <v>2828.3333333333335</v>
      </c>
      <c r="BG23" s="53">
        <f t="shared" si="5"/>
        <v>2905.8333333333335</v>
      </c>
      <c r="BH23" s="53">
        <f t="shared" si="5"/>
        <v>2983.3333333333335</v>
      </c>
      <c r="BI23" s="53">
        <f t="shared" si="5"/>
        <v>3060.8333333333335</v>
      </c>
      <c r="BJ23" s="62"/>
      <c r="BK23" s="64"/>
    </row>
    <row r="24" spans="1:63" ht="17">
      <c r="A24" s="3" t="s">
        <v>68</v>
      </c>
      <c r="B24" s="63">
        <f>B23/B4</f>
        <v>-1.9380952380952381</v>
      </c>
      <c r="C24" s="63">
        <f t="shared" ref="C24:BI24" si="6">C23/C4</f>
        <v>-1.1444444444444446</v>
      </c>
      <c r="D24" s="63">
        <f t="shared" si="6"/>
        <v>-0.74761904761904763</v>
      </c>
      <c r="E24" s="63">
        <f t="shared" si="6"/>
        <v>-1.4619047619047623</v>
      </c>
      <c r="F24" s="63">
        <f t="shared" si="6"/>
        <v>-1.1444444444444448</v>
      </c>
      <c r="G24" s="63">
        <f t="shared" si="6"/>
        <v>-0.91768707482993217</v>
      </c>
      <c r="H24" s="63">
        <f t="shared" si="6"/>
        <v>-0.74761904761904785</v>
      </c>
      <c r="I24" s="63">
        <f t="shared" si="6"/>
        <v>-0.61534391534391542</v>
      </c>
      <c r="J24" s="63">
        <f t="shared" si="6"/>
        <v>-0.5095238095238096</v>
      </c>
      <c r="K24" s="63">
        <f t="shared" si="6"/>
        <v>-0.42294372294372307</v>
      </c>
      <c r="L24" s="63">
        <f t="shared" si="6"/>
        <v>-0.35079365079365088</v>
      </c>
      <c r="M24" s="63">
        <f t="shared" si="6"/>
        <v>-0.28974358974358982</v>
      </c>
      <c r="N24" s="63">
        <f t="shared" si="6"/>
        <v>-0.23741496598639464</v>
      </c>
      <c r="O24" s="63">
        <f t="shared" si="6"/>
        <v>-0.19206349206349213</v>
      </c>
      <c r="P24" s="63">
        <f t="shared" si="6"/>
        <v>-0.15238095238095245</v>
      </c>
      <c r="Q24" s="63">
        <f t="shared" si="6"/>
        <v>-0.11736694677871155</v>
      </c>
      <c r="R24" s="63">
        <f t="shared" si="6"/>
        <v>-8.6243386243386302E-2</v>
      </c>
      <c r="S24" s="63">
        <f t="shared" si="6"/>
        <v>-5.8395989974937397E-2</v>
      </c>
      <c r="T24" s="63">
        <f t="shared" si="6"/>
        <v>-3.3333333333333388E-2</v>
      </c>
      <c r="U24" s="63">
        <f t="shared" si="6"/>
        <v>-1.0657596371882138E-2</v>
      </c>
      <c r="V24" s="63">
        <f t="shared" si="6"/>
        <v>9.9567099567099068E-3</v>
      </c>
      <c r="W24" s="63">
        <f t="shared" si="6"/>
        <v>2.8778467908902646E-2</v>
      </c>
      <c r="X24" s="63">
        <f t="shared" si="6"/>
        <v>4.6031746031745986E-2</v>
      </c>
      <c r="Y24" s="63">
        <f t="shared" si="6"/>
        <v>6.1904761904761858E-2</v>
      </c>
      <c r="Z24" s="63">
        <f t="shared" si="6"/>
        <v>7.6556776556776521E-2</v>
      </c>
      <c r="AA24" s="63">
        <f t="shared" si="6"/>
        <v>9.0123456790123416E-2</v>
      </c>
      <c r="AB24" s="63">
        <f t="shared" si="6"/>
        <v>0.10272108843537411</v>
      </c>
      <c r="AC24" s="63">
        <f t="shared" si="6"/>
        <v>0.11444991789819373</v>
      </c>
      <c r="AD24" s="63">
        <f t="shared" si="6"/>
        <v>0.12539682539682537</v>
      </c>
      <c r="AE24" s="63">
        <f t="shared" si="6"/>
        <v>0.13563748079877108</v>
      </c>
      <c r="AF24" s="63">
        <f t="shared" si="6"/>
        <v>0.14523809523809519</v>
      </c>
      <c r="AG24" s="63">
        <f t="shared" si="6"/>
        <v>0.15425685425685423</v>
      </c>
      <c r="AH24" s="63">
        <f t="shared" si="6"/>
        <v>0.16274509803921572</v>
      </c>
      <c r="AI24" s="63">
        <f t="shared" si="6"/>
        <v>0.1707482993197279</v>
      </c>
      <c r="AJ24" s="63">
        <f t="shared" si="6"/>
        <v>0.17830687830687833</v>
      </c>
      <c r="AK24" s="63">
        <f t="shared" si="6"/>
        <v>0.18545688545688549</v>
      </c>
      <c r="AL24" s="63">
        <f t="shared" si="6"/>
        <v>0.19223057644110278</v>
      </c>
      <c r="AM24" s="63">
        <f t="shared" si="6"/>
        <v>0.19865689865689867</v>
      </c>
      <c r="AN24" s="63">
        <f t="shared" si="6"/>
        <v>0.20476190476190478</v>
      </c>
      <c r="AO24" s="63">
        <f t="shared" si="6"/>
        <v>0.21056910569105694</v>
      </c>
      <c r="AP24" s="63">
        <f t="shared" si="6"/>
        <v>0.21609977324263041</v>
      </c>
      <c r="AQ24" s="63">
        <f t="shared" si="6"/>
        <v>0.2213732004429679</v>
      </c>
      <c r="AR24" s="63">
        <f t="shared" si="6"/>
        <v>0.22640692640692642</v>
      </c>
      <c r="AS24" s="63">
        <f t="shared" si="6"/>
        <v>0.23121693121693124</v>
      </c>
      <c r="AT24" s="63">
        <f t="shared" si="6"/>
        <v>0.2358178053830228</v>
      </c>
      <c r="AU24" s="63">
        <f t="shared" si="6"/>
        <v>0.2402228976697062</v>
      </c>
      <c r="AV24" s="63">
        <f t="shared" si="6"/>
        <v>0.24444444444444446</v>
      </c>
      <c r="AW24" s="63">
        <f t="shared" si="6"/>
        <v>0.24849368318756077</v>
      </c>
      <c r="AX24" s="63">
        <f t="shared" si="6"/>
        <v>0.25238095238095237</v>
      </c>
      <c r="AY24" s="63">
        <f t="shared" si="6"/>
        <v>0.25611577964519144</v>
      </c>
      <c r="AZ24" s="63">
        <f t="shared" si="6"/>
        <v>0.25970695970695973</v>
      </c>
      <c r="BA24" s="63">
        <f t="shared" si="6"/>
        <v>0.26316262353998204</v>
      </c>
      <c r="BB24" s="63">
        <f t="shared" si="6"/>
        <v>0.26649029982363315</v>
      </c>
      <c r="BC24" s="63">
        <f t="shared" si="6"/>
        <v>0.26969696969696971</v>
      </c>
      <c r="BD24" s="63">
        <f t="shared" si="6"/>
        <v>0.27278911564625852</v>
      </c>
      <c r="BE24" s="63">
        <f t="shared" si="6"/>
        <v>0.27577276524644945</v>
      </c>
      <c r="BF24" s="63">
        <f t="shared" si="6"/>
        <v>0.27865353037766832</v>
      </c>
      <c r="BG24" s="63">
        <f t="shared" si="6"/>
        <v>0.28143664245359162</v>
      </c>
      <c r="BH24" s="63">
        <f t="shared" si="6"/>
        <v>0.28412698412698412</v>
      </c>
      <c r="BI24" s="63">
        <f t="shared" si="6"/>
        <v>0.28672911787665889</v>
      </c>
      <c r="BJ24" s="45"/>
    </row>
    <row r="25" spans="1:63">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row>
    <row r="26" spans="1:63" ht="17">
      <c r="A26" s="3" t="s">
        <v>70</v>
      </c>
      <c r="B26" s="53">
        <f t="shared" ref="B26:AG26" si="7">B23*TaxRate</f>
        <v>-101.75</v>
      </c>
      <c r="C26" s="53">
        <f t="shared" si="7"/>
        <v>-90.125</v>
      </c>
      <c r="D26" s="53">
        <f t="shared" si="7"/>
        <v>-78.5</v>
      </c>
      <c r="E26" s="53">
        <f t="shared" si="7"/>
        <v>-191.87500000000003</v>
      </c>
      <c r="F26" s="53">
        <f t="shared" si="7"/>
        <v>-180.25000000000003</v>
      </c>
      <c r="G26" s="53">
        <f t="shared" si="7"/>
        <v>-168.62500000000003</v>
      </c>
      <c r="H26" s="53">
        <f t="shared" si="7"/>
        <v>-157.00000000000003</v>
      </c>
      <c r="I26" s="53">
        <f t="shared" si="7"/>
        <v>-145.37500000000003</v>
      </c>
      <c r="J26" s="53">
        <f t="shared" si="7"/>
        <v>-133.75000000000003</v>
      </c>
      <c r="K26" s="53">
        <f t="shared" si="7"/>
        <v>-122.12500000000003</v>
      </c>
      <c r="L26" s="53">
        <f t="shared" si="7"/>
        <v>-110.50000000000003</v>
      </c>
      <c r="M26" s="53">
        <f t="shared" si="7"/>
        <v>-98.875000000000028</v>
      </c>
      <c r="N26" s="53">
        <f t="shared" si="7"/>
        <v>-87.250000000000028</v>
      </c>
      <c r="O26" s="53">
        <f t="shared" si="7"/>
        <v>-75.625000000000028</v>
      </c>
      <c r="P26" s="53">
        <f t="shared" si="7"/>
        <v>-64.000000000000028</v>
      </c>
      <c r="Q26" s="53">
        <f t="shared" si="7"/>
        <v>-52.375000000000028</v>
      </c>
      <c r="R26" s="53">
        <f t="shared" si="7"/>
        <v>-40.750000000000028</v>
      </c>
      <c r="S26" s="53">
        <f t="shared" si="7"/>
        <v>-29.125000000000028</v>
      </c>
      <c r="T26" s="53">
        <f t="shared" si="7"/>
        <v>-17.500000000000028</v>
      </c>
      <c r="U26" s="53">
        <f t="shared" si="7"/>
        <v>-5.8750000000000284</v>
      </c>
      <c r="V26" s="53">
        <f t="shared" si="7"/>
        <v>5.7499999999999716</v>
      </c>
      <c r="W26" s="53">
        <f t="shared" si="7"/>
        <v>17.374999999999972</v>
      </c>
      <c r="X26" s="53">
        <f t="shared" si="7"/>
        <v>28.999999999999972</v>
      </c>
      <c r="Y26" s="53">
        <f t="shared" si="7"/>
        <v>40.624999999999972</v>
      </c>
      <c r="Z26" s="53">
        <f t="shared" si="7"/>
        <v>52.249999999999972</v>
      </c>
      <c r="AA26" s="53">
        <f t="shared" si="7"/>
        <v>63.874999999999972</v>
      </c>
      <c r="AB26" s="53">
        <f t="shared" si="7"/>
        <v>75.499999999999972</v>
      </c>
      <c r="AC26" s="53">
        <f t="shared" si="7"/>
        <v>87.124999999999972</v>
      </c>
      <c r="AD26" s="53">
        <f t="shared" si="7"/>
        <v>98.749999999999972</v>
      </c>
      <c r="AE26" s="53">
        <f t="shared" si="7"/>
        <v>110.37499999999997</v>
      </c>
      <c r="AF26" s="53">
        <f t="shared" si="7"/>
        <v>121.99999999999997</v>
      </c>
      <c r="AG26" s="53">
        <f t="shared" si="7"/>
        <v>133.62499999999997</v>
      </c>
      <c r="AH26" s="53">
        <f t="shared" ref="AH26:BI26" si="8">AH23*TaxRate</f>
        <v>145.25000000000003</v>
      </c>
      <c r="AI26" s="53">
        <f t="shared" si="8"/>
        <v>156.87500000000003</v>
      </c>
      <c r="AJ26" s="53">
        <f t="shared" si="8"/>
        <v>168.50000000000003</v>
      </c>
      <c r="AK26" s="53">
        <f t="shared" si="8"/>
        <v>180.12500000000003</v>
      </c>
      <c r="AL26" s="53">
        <f t="shared" si="8"/>
        <v>191.75000000000003</v>
      </c>
      <c r="AM26" s="53">
        <f t="shared" si="8"/>
        <v>203.37500000000003</v>
      </c>
      <c r="AN26" s="53">
        <f t="shared" si="8"/>
        <v>215.00000000000003</v>
      </c>
      <c r="AO26" s="53">
        <f t="shared" si="8"/>
        <v>226.62500000000003</v>
      </c>
      <c r="AP26" s="53">
        <f t="shared" si="8"/>
        <v>238.25</v>
      </c>
      <c r="AQ26" s="53">
        <f t="shared" si="8"/>
        <v>249.875</v>
      </c>
      <c r="AR26" s="53">
        <f t="shared" si="8"/>
        <v>261.5</v>
      </c>
      <c r="AS26" s="53">
        <f t="shared" si="8"/>
        <v>273.125</v>
      </c>
      <c r="AT26" s="53">
        <f t="shared" si="8"/>
        <v>284.75</v>
      </c>
      <c r="AU26" s="53">
        <f t="shared" si="8"/>
        <v>296.375</v>
      </c>
      <c r="AV26" s="53">
        <f t="shared" si="8"/>
        <v>308</v>
      </c>
      <c r="AW26" s="53">
        <f t="shared" si="8"/>
        <v>319.625</v>
      </c>
      <c r="AX26" s="53">
        <f t="shared" si="8"/>
        <v>331.25</v>
      </c>
      <c r="AY26" s="53">
        <f t="shared" si="8"/>
        <v>342.875</v>
      </c>
      <c r="AZ26" s="53">
        <f t="shared" si="8"/>
        <v>354.5</v>
      </c>
      <c r="BA26" s="53">
        <f t="shared" si="8"/>
        <v>366.125</v>
      </c>
      <c r="BB26" s="53">
        <f t="shared" si="8"/>
        <v>377.75</v>
      </c>
      <c r="BC26" s="53">
        <f t="shared" si="8"/>
        <v>389.375</v>
      </c>
      <c r="BD26" s="53">
        <f t="shared" si="8"/>
        <v>401</v>
      </c>
      <c r="BE26" s="53">
        <f t="shared" si="8"/>
        <v>412.625</v>
      </c>
      <c r="BF26" s="53">
        <f t="shared" si="8"/>
        <v>424.25</v>
      </c>
      <c r="BG26" s="53">
        <f t="shared" si="8"/>
        <v>435.875</v>
      </c>
      <c r="BH26" s="53">
        <f t="shared" si="8"/>
        <v>447.5</v>
      </c>
      <c r="BI26" s="53">
        <f t="shared" si="8"/>
        <v>459.125</v>
      </c>
      <c r="BJ26" s="45"/>
    </row>
    <row r="27" spans="1:63">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45"/>
    </row>
    <row r="28" spans="1:63" ht="17">
      <c r="A28" s="3" t="s">
        <v>71</v>
      </c>
      <c r="B28" s="53">
        <f>B23-B26</f>
        <v>-576.58333333333337</v>
      </c>
      <c r="C28" s="53">
        <f t="shared" ref="C28:BI28" si="9">C23-C26</f>
        <v>-510.70833333333337</v>
      </c>
      <c r="D28" s="53">
        <f t="shared" si="9"/>
        <v>-444.83333333333337</v>
      </c>
      <c r="E28" s="53">
        <f t="shared" si="9"/>
        <v>-1087.291666666667</v>
      </c>
      <c r="F28" s="53">
        <f t="shared" si="9"/>
        <v>-1021.416666666667</v>
      </c>
      <c r="G28" s="53">
        <f t="shared" si="9"/>
        <v>-955.54166666666697</v>
      </c>
      <c r="H28" s="53">
        <f t="shared" si="9"/>
        <v>-889.66666666666697</v>
      </c>
      <c r="I28" s="53">
        <f t="shared" si="9"/>
        <v>-823.79166666666686</v>
      </c>
      <c r="J28" s="53">
        <f t="shared" si="9"/>
        <v>-757.91666666666686</v>
      </c>
      <c r="K28" s="53">
        <f t="shared" si="9"/>
        <v>-692.04166666666686</v>
      </c>
      <c r="L28" s="53">
        <f t="shared" si="9"/>
        <v>-626.16666666666686</v>
      </c>
      <c r="M28" s="53">
        <f t="shared" si="9"/>
        <v>-560.29166666666686</v>
      </c>
      <c r="N28" s="53">
        <f t="shared" si="9"/>
        <v>-494.41666666666686</v>
      </c>
      <c r="O28" s="53">
        <f t="shared" si="9"/>
        <v>-428.54166666666686</v>
      </c>
      <c r="P28" s="53">
        <f t="shared" si="9"/>
        <v>-362.66666666666686</v>
      </c>
      <c r="Q28" s="53">
        <f t="shared" si="9"/>
        <v>-296.79166666666686</v>
      </c>
      <c r="R28" s="53">
        <f t="shared" si="9"/>
        <v>-230.91666666666683</v>
      </c>
      <c r="S28" s="53">
        <f t="shared" si="9"/>
        <v>-165.04166666666683</v>
      </c>
      <c r="T28" s="53">
        <f t="shared" si="9"/>
        <v>-99.166666666666828</v>
      </c>
      <c r="U28" s="53">
        <f t="shared" si="9"/>
        <v>-33.291666666666828</v>
      </c>
      <c r="V28" s="53">
        <f t="shared" si="9"/>
        <v>32.583333333333172</v>
      </c>
      <c r="W28" s="53">
        <f t="shared" si="9"/>
        <v>98.458333333333172</v>
      </c>
      <c r="X28" s="53">
        <f t="shared" si="9"/>
        <v>164.33333333333317</v>
      </c>
      <c r="Y28" s="53">
        <f t="shared" si="9"/>
        <v>230.20833333333317</v>
      </c>
      <c r="Z28" s="53">
        <f t="shared" si="9"/>
        <v>296.08333333333314</v>
      </c>
      <c r="AA28" s="53">
        <f t="shared" si="9"/>
        <v>361.95833333333314</v>
      </c>
      <c r="AB28" s="53">
        <f t="shared" si="9"/>
        <v>427.83333333333314</v>
      </c>
      <c r="AC28" s="53">
        <f t="shared" si="9"/>
        <v>493.70833333333314</v>
      </c>
      <c r="AD28" s="53">
        <f t="shared" si="9"/>
        <v>559.58333333333314</v>
      </c>
      <c r="AE28" s="53">
        <f t="shared" si="9"/>
        <v>625.45833333333314</v>
      </c>
      <c r="AF28" s="53">
        <f t="shared" si="9"/>
        <v>691.33333333333314</v>
      </c>
      <c r="AG28" s="53">
        <f t="shared" si="9"/>
        <v>757.20833333333314</v>
      </c>
      <c r="AH28" s="53">
        <f t="shared" si="9"/>
        <v>823.0833333333336</v>
      </c>
      <c r="AI28" s="53">
        <f t="shared" si="9"/>
        <v>888.95833333333348</v>
      </c>
      <c r="AJ28" s="53">
        <f t="shared" si="9"/>
        <v>954.83333333333348</v>
      </c>
      <c r="AK28" s="53">
        <f t="shared" si="9"/>
        <v>1020.7083333333335</v>
      </c>
      <c r="AL28" s="53">
        <f t="shared" si="9"/>
        <v>1086.5833333333335</v>
      </c>
      <c r="AM28" s="53">
        <f t="shared" si="9"/>
        <v>1152.4583333333335</v>
      </c>
      <c r="AN28" s="53">
        <f t="shared" si="9"/>
        <v>1218.3333333333335</v>
      </c>
      <c r="AO28" s="53">
        <f t="shared" si="9"/>
        <v>1284.2083333333335</v>
      </c>
      <c r="AP28" s="53">
        <f t="shared" si="9"/>
        <v>1350.0833333333335</v>
      </c>
      <c r="AQ28" s="53">
        <f t="shared" si="9"/>
        <v>1415.9583333333335</v>
      </c>
      <c r="AR28" s="53">
        <f t="shared" si="9"/>
        <v>1481.8333333333335</v>
      </c>
      <c r="AS28" s="53">
        <f t="shared" si="9"/>
        <v>1547.7083333333335</v>
      </c>
      <c r="AT28" s="53">
        <f t="shared" si="9"/>
        <v>1613.5833333333335</v>
      </c>
      <c r="AU28" s="53">
        <f t="shared" si="9"/>
        <v>1679.4583333333335</v>
      </c>
      <c r="AV28" s="53">
        <f t="shared" si="9"/>
        <v>1745.3333333333335</v>
      </c>
      <c r="AW28" s="53">
        <f t="shared" si="9"/>
        <v>1811.2083333333335</v>
      </c>
      <c r="AX28" s="53">
        <f t="shared" si="9"/>
        <v>1877.0833333333335</v>
      </c>
      <c r="AY28" s="53">
        <f t="shared" si="9"/>
        <v>1942.9583333333335</v>
      </c>
      <c r="AZ28" s="53">
        <f t="shared" si="9"/>
        <v>2008.8333333333335</v>
      </c>
      <c r="BA28" s="53">
        <f t="shared" si="9"/>
        <v>2074.7083333333335</v>
      </c>
      <c r="BB28" s="53">
        <f t="shared" si="9"/>
        <v>2140.5833333333335</v>
      </c>
      <c r="BC28" s="53">
        <f t="shared" si="9"/>
        <v>2206.4583333333335</v>
      </c>
      <c r="BD28" s="53">
        <f t="shared" si="9"/>
        <v>2272.3333333333335</v>
      </c>
      <c r="BE28" s="53">
        <f t="shared" si="9"/>
        <v>2338.2083333333335</v>
      </c>
      <c r="BF28" s="53">
        <f t="shared" si="9"/>
        <v>2404.0833333333335</v>
      </c>
      <c r="BG28" s="53">
        <f t="shared" si="9"/>
        <v>2469.9583333333335</v>
      </c>
      <c r="BH28" s="53">
        <f t="shared" si="9"/>
        <v>2535.8333333333335</v>
      </c>
      <c r="BI28" s="53">
        <f t="shared" si="9"/>
        <v>2601.7083333333335</v>
      </c>
      <c r="BJ28" s="45"/>
    </row>
    <row r="29" spans="1:63" ht="17">
      <c r="A29" s="3" t="s">
        <v>72</v>
      </c>
      <c r="B29" s="63">
        <f>B28/B4</f>
        <v>-1.6473809523809524</v>
      </c>
      <c r="C29" s="63">
        <f t="shared" ref="C29:BI29" si="10">C28/C4</f>
        <v>-0.97277777777777785</v>
      </c>
      <c r="D29" s="63">
        <f t="shared" si="10"/>
        <v>-0.63547619047619053</v>
      </c>
      <c r="E29" s="63">
        <f t="shared" si="10"/>
        <v>-1.242619047619048</v>
      </c>
      <c r="F29" s="63">
        <f t="shared" si="10"/>
        <v>-0.97277777777777807</v>
      </c>
      <c r="G29" s="63">
        <f t="shared" si="10"/>
        <v>-0.78003401360544244</v>
      </c>
      <c r="H29" s="63">
        <f t="shared" si="10"/>
        <v>-0.63547619047619064</v>
      </c>
      <c r="I29" s="63">
        <f t="shared" si="10"/>
        <v>-0.5230423280423282</v>
      </c>
      <c r="J29" s="63">
        <f t="shared" si="10"/>
        <v>-0.4330952380952382</v>
      </c>
      <c r="K29" s="63">
        <f t="shared" si="10"/>
        <v>-0.3595021645021646</v>
      </c>
      <c r="L29" s="63">
        <f t="shared" si="10"/>
        <v>-0.29817460317460326</v>
      </c>
      <c r="M29" s="63">
        <f t="shared" si="10"/>
        <v>-0.24628205128205136</v>
      </c>
      <c r="N29" s="63">
        <f t="shared" si="10"/>
        <v>-0.20180272108843544</v>
      </c>
      <c r="O29" s="63">
        <f t="shared" si="10"/>
        <v>-0.16325396825396832</v>
      </c>
      <c r="P29" s="63">
        <f t="shared" si="10"/>
        <v>-0.1295238095238096</v>
      </c>
      <c r="Q29" s="63">
        <f t="shared" si="10"/>
        <v>-9.9761904761904829E-2</v>
      </c>
      <c r="R29" s="63">
        <f t="shared" si="10"/>
        <v>-7.3306878306878362E-2</v>
      </c>
      <c r="S29" s="63">
        <f t="shared" si="10"/>
        <v>-4.9636591478696791E-2</v>
      </c>
      <c r="T29" s="63">
        <f t="shared" si="10"/>
        <v>-2.833333333333338E-2</v>
      </c>
      <c r="U29" s="63">
        <f t="shared" si="10"/>
        <v>-9.0589569160998175E-3</v>
      </c>
      <c r="V29" s="63">
        <f t="shared" si="10"/>
        <v>8.4632034632034208E-3</v>
      </c>
      <c r="W29" s="63">
        <f t="shared" si="10"/>
        <v>2.4461697722567247E-2</v>
      </c>
      <c r="X29" s="63">
        <f t="shared" si="10"/>
        <v>3.9126984126984087E-2</v>
      </c>
      <c r="Y29" s="63">
        <f t="shared" si="10"/>
        <v>5.2619047619047579E-2</v>
      </c>
      <c r="Z29" s="63">
        <f t="shared" si="10"/>
        <v>6.5073260073260031E-2</v>
      </c>
      <c r="AA29" s="63">
        <f t="shared" si="10"/>
        <v>7.6604938271604903E-2</v>
      </c>
      <c r="AB29" s="63">
        <f t="shared" si="10"/>
        <v>8.7312925170067987E-2</v>
      </c>
      <c r="AC29" s="63">
        <f t="shared" si="10"/>
        <v>9.7282430213464666E-2</v>
      </c>
      <c r="AD29" s="63">
        <f t="shared" si="10"/>
        <v>0.10658730158730155</v>
      </c>
      <c r="AE29" s="63">
        <f t="shared" si="10"/>
        <v>0.11529185867895542</v>
      </c>
      <c r="AF29" s="63">
        <f t="shared" si="10"/>
        <v>0.12345238095238092</v>
      </c>
      <c r="AG29" s="63">
        <f t="shared" si="10"/>
        <v>0.13111832611832608</v>
      </c>
      <c r="AH29" s="63">
        <f t="shared" si="10"/>
        <v>0.13833333333333339</v>
      </c>
      <c r="AI29" s="63">
        <f t="shared" si="10"/>
        <v>0.14513605442176875</v>
      </c>
      <c r="AJ29" s="63">
        <f t="shared" si="10"/>
        <v>0.15156084656084659</v>
      </c>
      <c r="AK29" s="63">
        <f t="shared" si="10"/>
        <v>0.15763835263835266</v>
      </c>
      <c r="AL29" s="63">
        <f t="shared" si="10"/>
        <v>0.16339598997493737</v>
      </c>
      <c r="AM29" s="63">
        <f t="shared" si="10"/>
        <v>0.16885836385836389</v>
      </c>
      <c r="AN29" s="63">
        <f t="shared" si="10"/>
        <v>0.17404761904761906</v>
      </c>
      <c r="AO29" s="63">
        <f t="shared" si="10"/>
        <v>0.1789837398373984</v>
      </c>
      <c r="AP29" s="63">
        <f t="shared" si="10"/>
        <v>0.18368480725623584</v>
      </c>
      <c r="AQ29" s="63">
        <f t="shared" si="10"/>
        <v>0.18816722037652273</v>
      </c>
      <c r="AR29" s="63">
        <f t="shared" si="10"/>
        <v>0.19244588744588748</v>
      </c>
      <c r="AS29" s="63">
        <f t="shared" si="10"/>
        <v>0.19653439153439156</v>
      </c>
      <c r="AT29" s="63">
        <f t="shared" si="10"/>
        <v>0.20044513457556937</v>
      </c>
      <c r="AU29" s="63">
        <f t="shared" si="10"/>
        <v>0.20418946301925028</v>
      </c>
      <c r="AV29" s="63">
        <f t="shared" si="10"/>
        <v>0.20777777777777778</v>
      </c>
      <c r="AW29" s="63">
        <f t="shared" si="10"/>
        <v>0.21121963070942665</v>
      </c>
      <c r="AX29" s="63">
        <f t="shared" si="10"/>
        <v>0.21452380952380953</v>
      </c>
      <c r="AY29" s="63">
        <f t="shared" si="10"/>
        <v>0.21769841269841272</v>
      </c>
      <c r="AZ29" s="63">
        <f t="shared" si="10"/>
        <v>0.22075091575091577</v>
      </c>
      <c r="BA29" s="63">
        <f t="shared" si="10"/>
        <v>0.22368823000898475</v>
      </c>
      <c r="BB29" s="63">
        <f t="shared" si="10"/>
        <v>0.22651675485008821</v>
      </c>
      <c r="BC29" s="63">
        <f t="shared" si="10"/>
        <v>0.22924242424242425</v>
      </c>
      <c r="BD29" s="63">
        <f t="shared" si="10"/>
        <v>0.23187074829931975</v>
      </c>
      <c r="BE29" s="63">
        <f t="shared" si="10"/>
        <v>0.23440685045948206</v>
      </c>
      <c r="BF29" s="63">
        <f t="shared" si="10"/>
        <v>0.23685550082101808</v>
      </c>
      <c r="BG29" s="63">
        <f t="shared" si="10"/>
        <v>0.23922114608555289</v>
      </c>
      <c r="BH29" s="63">
        <f t="shared" si="10"/>
        <v>0.24150793650793653</v>
      </c>
      <c r="BI29" s="63">
        <f t="shared" si="10"/>
        <v>0.24371975019516004</v>
      </c>
      <c r="BJ29" s="45"/>
    </row>
    <row r="30" spans="1:63">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row>
    <row r="31" spans="1:63" ht="17">
      <c r="B31" s="61" t="s">
        <v>87</v>
      </c>
      <c r="C31" s="61" t="s">
        <v>88</v>
      </c>
      <c r="D31" s="61" t="s">
        <v>89</v>
      </c>
      <c r="E31" s="61" t="s">
        <v>90</v>
      </c>
      <c r="F31" s="61" t="s">
        <v>87</v>
      </c>
      <c r="G31" s="61" t="s">
        <v>88</v>
      </c>
      <c r="H31" s="61" t="s">
        <v>89</v>
      </c>
      <c r="I31" s="61" t="s">
        <v>90</v>
      </c>
      <c r="J31" s="61" t="s">
        <v>87</v>
      </c>
      <c r="K31" s="61" t="s">
        <v>88</v>
      </c>
      <c r="L31" s="61" t="s">
        <v>89</v>
      </c>
      <c r="M31" s="61" t="s">
        <v>90</v>
      </c>
      <c r="N31" s="61" t="s">
        <v>87</v>
      </c>
      <c r="O31" s="61" t="s">
        <v>88</v>
      </c>
      <c r="P31" s="61" t="s">
        <v>89</v>
      </c>
      <c r="Q31" s="61" t="s">
        <v>90</v>
      </c>
      <c r="R31" s="61" t="s">
        <v>87</v>
      </c>
      <c r="S31" s="61" t="s">
        <v>88</v>
      </c>
      <c r="T31" s="61" t="s">
        <v>89</v>
      </c>
      <c r="U31" s="61" t="s">
        <v>90</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row>
    <row r="32" spans="1:63" ht="17">
      <c r="A32" s="3" t="s">
        <v>83</v>
      </c>
      <c r="B32" s="53">
        <f>SUM(B4:D4)</f>
        <v>1575</v>
      </c>
      <c r="C32" s="53">
        <f>SUM(E4:G4)</f>
        <v>3150</v>
      </c>
      <c r="D32" s="53">
        <f>SUM(H4:J4)</f>
        <v>4725</v>
      </c>
      <c r="E32" s="53">
        <f>SUM(K4:M4)</f>
        <v>6300</v>
      </c>
      <c r="F32" s="53">
        <f>SUM(N4:P4)</f>
        <v>7875</v>
      </c>
      <c r="G32" s="53">
        <f>SUM(Q4:S4)</f>
        <v>9450</v>
      </c>
      <c r="H32" s="53">
        <f>SUM(T4:V4)</f>
        <v>11025</v>
      </c>
      <c r="I32" s="53">
        <f>SUM(W4:Y4)</f>
        <v>12600</v>
      </c>
      <c r="J32" s="53">
        <f>SUM(Z4:AB4)</f>
        <v>14175</v>
      </c>
      <c r="K32" s="53">
        <f>SUM(AC4:AE4)</f>
        <v>15750</v>
      </c>
      <c r="L32" s="53">
        <f>SUM(AF4:AH4)</f>
        <v>17325</v>
      </c>
      <c r="M32" s="53">
        <f>SUM(AI4:AK4)</f>
        <v>18900</v>
      </c>
      <c r="N32" s="53">
        <f>SUM(AL4:AN4)</f>
        <v>20475</v>
      </c>
      <c r="O32" s="53">
        <f>SUM(AO4:AQ4)</f>
        <v>22050</v>
      </c>
      <c r="P32" s="53">
        <f>SUM(AR4:AT4)</f>
        <v>23625</v>
      </c>
      <c r="Q32" s="53">
        <f>SUM(AU4:AW4)</f>
        <v>25200</v>
      </c>
      <c r="R32" s="53">
        <f>SUM(AX4:AZ4)</f>
        <v>26775</v>
      </c>
      <c r="S32" s="53">
        <f>SUM(BA4:BC4)</f>
        <v>28350</v>
      </c>
      <c r="T32" s="53">
        <f>SUM(BD4:BF4)</f>
        <v>29925</v>
      </c>
      <c r="U32" s="53">
        <f>SUM(BG4:BI4)</f>
        <v>31500</v>
      </c>
    </row>
    <row r="33" spans="1:62">
      <c r="B33" s="45"/>
      <c r="C33" s="45"/>
      <c r="D33" s="45"/>
      <c r="E33" s="45"/>
      <c r="F33" s="45"/>
      <c r="G33" s="45"/>
      <c r="H33" s="45"/>
      <c r="I33" s="45"/>
      <c r="J33" s="45"/>
      <c r="K33" s="45"/>
      <c r="L33" s="45"/>
      <c r="M33" s="45"/>
      <c r="N33" s="45"/>
      <c r="O33" s="45"/>
      <c r="P33" s="45"/>
      <c r="Q33" s="45"/>
      <c r="R33" s="45"/>
      <c r="S33" s="45"/>
      <c r="T33" s="45"/>
      <c r="U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row>
    <row r="34" spans="1:62" ht="17">
      <c r="A34" s="3" t="s">
        <v>80</v>
      </c>
      <c r="B34" s="53">
        <f>SUM(B12:D12)</f>
        <v>697.5</v>
      </c>
      <c r="C34" s="53">
        <f>SUM(E12:G12)</f>
        <v>-1105.0000000000005</v>
      </c>
      <c r="D34" s="53">
        <f>SUM(H12:J12)</f>
        <v>-407.50000000000045</v>
      </c>
      <c r="E34" s="53">
        <f>SUM(K12:M12)</f>
        <v>289.99999999999955</v>
      </c>
      <c r="F34" s="53">
        <f>SUM(N12:P12)</f>
        <v>987.49999999999955</v>
      </c>
      <c r="G34" s="53">
        <f>SUM(Q12:S12)</f>
        <v>1684.9999999999995</v>
      </c>
      <c r="H34" s="53">
        <f>SUM(T12:V12)</f>
        <v>2382.4999999999995</v>
      </c>
      <c r="I34" s="53">
        <f>SUM(W12:Y12)</f>
        <v>3079.9999999999995</v>
      </c>
      <c r="J34" s="53">
        <f>SUM(Z12:AB12)</f>
        <v>3777.4999999999995</v>
      </c>
      <c r="K34" s="53">
        <f>SUM(AC12:AE12)</f>
        <v>4475</v>
      </c>
      <c r="L34" s="53">
        <f>SUM(AF12:AH12)</f>
        <v>5172.5</v>
      </c>
      <c r="M34" s="53">
        <f>SUM(AI12:AK12)</f>
        <v>5870.0000000000009</v>
      </c>
      <c r="N34" s="53">
        <f>SUM(AL12:AN12)</f>
        <v>6567.5000000000009</v>
      </c>
      <c r="O34" s="53">
        <f>SUM(AO12:AQ12)</f>
        <v>7265.0000000000009</v>
      </c>
      <c r="P34" s="53">
        <f>SUM(AR12:AT12)</f>
        <v>7962.5000000000009</v>
      </c>
      <c r="Q34" s="53">
        <f>SUM(AU12:AW12)</f>
        <v>8660</v>
      </c>
      <c r="R34" s="53">
        <f>SUM(AX12:AZ12)</f>
        <v>9357.5</v>
      </c>
      <c r="S34" s="53">
        <f>SUM(BA12:BC12)</f>
        <v>10055</v>
      </c>
      <c r="T34" s="53">
        <f>SUM(BD12:BF12)</f>
        <v>10752.5</v>
      </c>
      <c r="U34" s="53">
        <f>SUM(BG12:BI12)</f>
        <v>11450</v>
      </c>
    </row>
    <row r="35" spans="1:62" ht="17">
      <c r="A35" s="3" t="s">
        <v>79</v>
      </c>
      <c r="B35" s="63">
        <f t="shared" ref="B35:U35" si="11">B34/B$32</f>
        <v>0.44285714285714284</v>
      </c>
      <c r="C35" s="63">
        <f t="shared" si="11"/>
        <v>-0.35079365079365094</v>
      </c>
      <c r="D35" s="63">
        <f t="shared" si="11"/>
        <v>-8.6243386243386344E-2</v>
      </c>
      <c r="E35" s="63">
        <f t="shared" si="11"/>
        <v>4.6031746031745958E-2</v>
      </c>
      <c r="F35" s="63">
        <f t="shared" si="11"/>
        <v>0.12539682539682534</v>
      </c>
      <c r="G35" s="63">
        <f t="shared" si="11"/>
        <v>0.17830687830687825</v>
      </c>
      <c r="H35" s="63">
        <f t="shared" si="11"/>
        <v>0.21609977324263036</v>
      </c>
      <c r="I35" s="63">
        <f t="shared" si="11"/>
        <v>0.24444444444444441</v>
      </c>
      <c r="J35" s="63">
        <f t="shared" si="11"/>
        <v>0.26649029982363315</v>
      </c>
      <c r="K35" s="63">
        <f t="shared" si="11"/>
        <v>0.28412698412698412</v>
      </c>
      <c r="L35" s="63">
        <f t="shared" si="11"/>
        <v>0.29855699855699858</v>
      </c>
      <c r="M35" s="63">
        <f t="shared" si="11"/>
        <v>0.31058201058201063</v>
      </c>
      <c r="N35" s="63">
        <f t="shared" si="11"/>
        <v>0.32075702075702078</v>
      </c>
      <c r="O35" s="63">
        <f t="shared" si="11"/>
        <v>0.32947845804988668</v>
      </c>
      <c r="P35" s="63">
        <f t="shared" si="11"/>
        <v>0.33703703703703708</v>
      </c>
      <c r="Q35" s="63">
        <f t="shared" si="11"/>
        <v>0.34365079365079365</v>
      </c>
      <c r="R35" s="63">
        <f t="shared" si="11"/>
        <v>0.34948646125116711</v>
      </c>
      <c r="S35" s="63">
        <f t="shared" si="11"/>
        <v>0.35467372134038799</v>
      </c>
      <c r="T35" s="63">
        <f t="shared" si="11"/>
        <v>0.35931495405179614</v>
      </c>
      <c r="U35" s="63">
        <f t="shared" si="11"/>
        <v>0.36349206349206348</v>
      </c>
    </row>
    <row r="37" spans="1:62" ht="17">
      <c r="A37" s="3" t="s">
        <v>78</v>
      </c>
      <c r="B37" s="53">
        <f>SUM(B23:D23)</f>
        <v>-1802.5</v>
      </c>
      <c r="C37" s="53">
        <f>SUM(E23:G23)</f>
        <v>-3605.0000000000009</v>
      </c>
      <c r="D37" s="53">
        <f>SUM(H23:J23)</f>
        <v>-2907.5000000000009</v>
      </c>
      <c r="E37" s="53">
        <f>SUM(K23:M23)</f>
        <v>-2210.0000000000005</v>
      </c>
      <c r="F37" s="53">
        <f>SUM(N23:P23)</f>
        <v>-1512.5000000000005</v>
      </c>
      <c r="G37" s="53">
        <f>SUM(Q23:S23)</f>
        <v>-815.00000000000057</v>
      </c>
      <c r="H37" s="53">
        <f>SUM(T23:V23)</f>
        <v>-117.50000000000057</v>
      </c>
      <c r="I37" s="53">
        <f>SUM(W23:Y23)</f>
        <v>579.99999999999943</v>
      </c>
      <c r="J37" s="53">
        <f>SUM(Z23:AB23)</f>
        <v>1277.4999999999995</v>
      </c>
      <c r="K37" s="53">
        <f>SUM(AC23:AE23)</f>
        <v>1974.9999999999995</v>
      </c>
      <c r="L37" s="53">
        <f>SUM(AF23:AH23)</f>
        <v>2672.5</v>
      </c>
      <c r="M37" s="53">
        <f>SUM(AI23:AK23)</f>
        <v>3370.0000000000005</v>
      </c>
      <c r="N37" s="53">
        <f>SUM(AL23:AN23)</f>
        <v>4067.5000000000005</v>
      </c>
      <c r="O37" s="53">
        <f>SUM(AO23:AQ23)</f>
        <v>4765</v>
      </c>
      <c r="P37" s="53">
        <f>SUM(AR23:AT23)</f>
        <v>5462.5</v>
      </c>
      <c r="Q37" s="53">
        <f>SUM(AU23:AW23)</f>
        <v>6160</v>
      </c>
      <c r="R37" s="53">
        <f>SUM(AX23:AZ23)</f>
        <v>6857.5</v>
      </c>
      <c r="S37" s="53">
        <f>SUM(BA23:BC23)</f>
        <v>7555</v>
      </c>
      <c r="T37" s="53">
        <f>SUM(BD23:BF23)</f>
        <v>8252.5</v>
      </c>
      <c r="U37" s="53">
        <f>SUM(BG23:BI23)</f>
        <v>8950</v>
      </c>
    </row>
    <row r="38" spans="1:62" ht="17">
      <c r="A38" s="3" t="s">
        <v>79</v>
      </c>
      <c r="B38" s="63">
        <f t="shared" ref="B38:U38" si="12">B37/B$32</f>
        <v>-1.1444444444444444</v>
      </c>
      <c r="C38" s="63">
        <f t="shared" si="12"/>
        <v>-1.1444444444444448</v>
      </c>
      <c r="D38" s="63">
        <f t="shared" si="12"/>
        <v>-0.61534391534391553</v>
      </c>
      <c r="E38" s="63">
        <f t="shared" si="12"/>
        <v>-0.35079365079365088</v>
      </c>
      <c r="F38" s="63">
        <f t="shared" si="12"/>
        <v>-0.19206349206349213</v>
      </c>
      <c r="G38" s="63">
        <f t="shared" si="12"/>
        <v>-8.6243386243386302E-2</v>
      </c>
      <c r="H38" s="63">
        <f t="shared" si="12"/>
        <v>-1.0657596371882138E-2</v>
      </c>
      <c r="I38" s="63">
        <f t="shared" si="12"/>
        <v>4.6031746031745986E-2</v>
      </c>
      <c r="J38" s="63">
        <f t="shared" si="12"/>
        <v>9.012345679012343E-2</v>
      </c>
      <c r="K38" s="63">
        <f t="shared" si="12"/>
        <v>0.12539682539682537</v>
      </c>
      <c r="L38" s="63">
        <f t="shared" si="12"/>
        <v>0.15425685425685426</v>
      </c>
      <c r="M38" s="63">
        <f t="shared" si="12"/>
        <v>0.17830687830687833</v>
      </c>
      <c r="N38" s="63">
        <f t="shared" si="12"/>
        <v>0.19865689865689867</v>
      </c>
      <c r="O38" s="63">
        <f t="shared" si="12"/>
        <v>0.21609977324263038</v>
      </c>
      <c r="P38" s="63">
        <f t="shared" si="12"/>
        <v>0.23121693121693121</v>
      </c>
      <c r="Q38" s="63">
        <f t="shared" si="12"/>
        <v>0.24444444444444444</v>
      </c>
      <c r="R38" s="63">
        <f t="shared" si="12"/>
        <v>0.25611577964519139</v>
      </c>
      <c r="S38" s="63">
        <f t="shared" si="12"/>
        <v>0.26649029982363315</v>
      </c>
      <c r="T38" s="63">
        <f t="shared" si="12"/>
        <v>0.27577276524644945</v>
      </c>
      <c r="U38" s="63">
        <f t="shared" si="12"/>
        <v>0.28412698412698412</v>
      </c>
    </row>
    <row r="40" spans="1:62" ht="17">
      <c r="A40" s="3" t="s">
        <v>81</v>
      </c>
      <c r="B40" s="53">
        <f>SUM(B28:D28)</f>
        <v>-1532.125</v>
      </c>
      <c r="C40" s="53">
        <f>SUM(E28:G28)</f>
        <v>-3064.2500000000009</v>
      </c>
      <c r="D40" s="53">
        <f>SUM(H28:J28)</f>
        <v>-2471.3750000000009</v>
      </c>
      <c r="E40" s="53">
        <f>SUM(K28:M28)</f>
        <v>-1878.5000000000005</v>
      </c>
      <c r="F40" s="53">
        <f>SUM(N28:P28)</f>
        <v>-1285.6250000000005</v>
      </c>
      <c r="G40" s="53">
        <f>SUM(Q28:S28)</f>
        <v>-692.75000000000057</v>
      </c>
      <c r="H40" s="53">
        <f>SUM(T28:V28)</f>
        <v>-99.875000000000483</v>
      </c>
      <c r="I40" s="53">
        <f>SUM(W28:Y28)</f>
        <v>492.99999999999955</v>
      </c>
      <c r="J40" s="53">
        <f>SUM(Z28:AB28)</f>
        <v>1085.8749999999995</v>
      </c>
      <c r="K40" s="53">
        <f>SUM(AC28:AE28)</f>
        <v>1678.7499999999995</v>
      </c>
      <c r="L40" s="53">
        <f>SUM(AF28:AH28)</f>
        <v>2271.625</v>
      </c>
      <c r="M40" s="53">
        <f>SUM(AI28:AK28)</f>
        <v>2864.5000000000005</v>
      </c>
      <c r="N40" s="53">
        <f>SUM(AL28:AN28)</f>
        <v>3457.3750000000005</v>
      </c>
      <c r="O40" s="53">
        <f>SUM(AO28:AQ28)</f>
        <v>4050.2500000000005</v>
      </c>
      <c r="P40" s="53">
        <f>SUM(AR28:AT28)</f>
        <v>4643.125</v>
      </c>
      <c r="Q40" s="53">
        <f>SUM(AU28:AW28)</f>
        <v>5236</v>
      </c>
      <c r="R40" s="53">
        <f>SUM(AX28:AZ28)</f>
        <v>5828.875</v>
      </c>
      <c r="S40" s="53">
        <f>SUM(BA28:BC28)</f>
        <v>6421.75</v>
      </c>
      <c r="T40" s="53">
        <f>SUM(BD28:BF28)</f>
        <v>7014.625</v>
      </c>
      <c r="U40" s="53">
        <f>SUM(BG28:BI28)</f>
        <v>7607.5</v>
      </c>
    </row>
    <row r="41" spans="1:62" ht="17">
      <c r="A41" s="3" t="s">
        <v>79</v>
      </c>
      <c r="B41" s="63">
        <f t="shared" ref="B41:U41" si="13">B40/B$32</f>
        <v>-0.97277777777777774</v>
      </c>
      <c r="C41" s="63">
        <f t="shared" si="13"/>
        <v>-0.97277777777777807</v>
      </c>
      <c r="D41" s="63">
        <f t="shared" si="13"/>
        <v>-0.5230423280423282</v>
      </c>
      <c r="E41" s="63">
        <f t="shared" si="13"/>
        <v>-0.29817460317460326</v>
      </c>
      <c r="F41" s="63">
        <f t="shared" si="13"/>
        <v>-0.16325396825396832</v>
      </c>
      <c r="G41" s="63">
        <f t="shared" si="13"/>
        <v>-7.3306878306878362E-2</v>
      </c>
      <c r="H41" s="63">
        <f t="shared" si="13"/>
        <v>-9.0589569160998175E-3</v>
      </c>
      <c r="I41" s="63">
        <f t="shared" si="13"/>
        <v>3.9126984126984093E-2</v>
      </c>
      <c r="J41" s="63">
        <f t="shared" si="13"/>
        <v>7.6604938271604903E-2</v>
      </c>
      <c r="K41" s="63">
        <f t="shared" si="13"/>
        <v>0.10658730158730156</v>
      </c>
      <c r="L41" s="63">
        <f t="shared" si="13"/>
        <v>0.13111832611832611</v>
      </c>
      <c r="M41" s="63">
        <f t="shared" si="13"/>
        <v>0.15156084656084659</v>
      </c>
      <c r="N41" s="63">
        <f t="shared" si="13"/>
        <v>0.16885836385836389</v>
      </c>
      <c r="O41" s="63">
        <f t="shared" si="13"/>
        <v>0.18368480725623584</v>
      </c>
      <c r="P41" s="63">
        <f t="shared" si="13"/>
        <v>0.19653439153439153</v>
      </c>
      <c r="Q41" s="63">
        <f t="shared" si="13"/>
        <v>0.20777777777777778</v>
      </c>
      <c r="R41" s="63">
        <f t="shared" si="13"/>
        <v>0.2176984126984127</v>
      </c>
      <c r="S41" s="63">
        <f t="shared" si="13"/>
        <v>0.22651675485008818</v>
      </c>
      <c r="T41" s="63">
        <f t="shared" si="13"/>
        <v>0.23440685045948204</v>
      </c>
      <c r="U41" s="63">
        <f t="shared" si="13"/>
        <v>0.2415079365079365</v>
      </c>
    </row>
    <row r="43" spans="1:62" ht="17">
      <c r="B43" s="65">
        <f>Vol!B2</f>
        <v>2018</v>
      </c>
      <c r="C43" s="65">
        <f>B43+1</f>
        <v>2019</v>
      </c>
      <c r="D43" s="65">
        <f>C43+1</f>
        <v>2020</v>
      </c>
      <c r="E43" s="65">
        <f>D43+1</f>
        <v>2021</v>
      </c>
      <c r="F43" s="65">
        <f>E43+1</f>
        <v>2022</v>
      </c>
    </row>
    <row r="44" spans="1:62" ht="17">
      <c r="A44" s="3" t="s">
        <v>84</v>
      </c>
      <c r="B44" s="53">
        <f>SUM(B32:E32)</f>
        <v>15750</v>
      </c>
      <c r="C44" s="53">
        <f>SUM(F32:I32)</f>
        <v>40950</v>
      </c>
      <c r="D44" s="53">
        <f>SUM(J32:M32)</f>
        <v>66150</v>
      </c>
      <c r="E44" s="53">
        <f>SUM(N32:Q32)</f>
        <v>91350</v>
      </c>
      <c r="F44" s="53">
        <f>SUM(R32:U32)</f>
        <v>116550</v>
      </c>
    </row>
    <row r="46" spans="1:62" ht="17">
      <c r="A46" s="3" t="s">
        <v>82</v>
      </c>
      <c r="B46" s="53">
        <f>SUM(B34:E34)</f>
        <v>-525.00000000000136</v>
      </c>
      <c r="C46" s="53">
        <f>SUM(F34:I34)</f>
        <v>8134.9999999999982</v>
      </c>
      <c r="D46" s="53">
        <f>SUM(J34:M34)</f>
        <v>19295</v>
      </c>
      <c r="E46" s="53">
        <f>SUM(N34:Q34)</f>
        <v>30455.000000000004</v>
      </c>
      <c r="F46" s="53">
        <f>SUM(R34:U34)</f>
        <v>41615</v>
      </c>
    </row>
    <row r="47" spans="1:62" ht="17">
      <c r="A47" s="3" t="s">
        <v>79</v>
      </c>
      <c r="B47" s="63">
        <f>B46/B$44</f>
        <v>-3.3333333333333423E-2</v>
      </c>
      <c r="C47" s="63">
        <f>C46/C$44</f>
        <v>0.19865689865689862</v>
      </c>
      <c r="D47" s="63">
        <f>D46/D$44</f>
        <v>0.29168556311413452</v>
      </c>
      <c r="E47" s="63">
        <f>E46/E$44</f>
        <v>0.33338806787082653</v>
      </c>
      <c r="F47" s="63">
        <f>F46/F$44</f>
        <v>0.35705705705705704</v>
      </c>
    </row>
    <row r="49" spans="1:6" ht="17">
      <c r="A49" s="3" t="s">
        <v>85</v>
      </c>
      <c r="B49" s="53">
        <f>SUM(B37:E37)</f>
        <v>-10525.000000000002</v>
      </c>
      <c r="C49" s="53">
        <f>SUM(F37:I37)</f>
        <v>-1865.0000000000018</v>
      </c>
      <c r="D49" s="53">
        <f>SUM(J37:M37)</f>
        <v>9295</v>
      </c>
      <c r="E49" s="53">
        <f>SUM(N37:Q37)</f>
        <v>20455</v>
      </c>
      <c r="F49" s="53">
        <f>SUM(R37:U37)</f>
        <v>31615</v>
      </c>
    </row>
    <row r="50" spans="1:6" ht="17">
      <c r="A50" s="3" t="s">
        <v>79</v>
      </c>
      <c r="B50" s="63">
        <f>B49/B$44</f>
        <v>-0.66825396825396832</v>
      </c>
      <c r="C50" s="63">
        <f>C49/C$44</f>
        <v>-4.554334554334559E-2</v>
      </c>
      <c r="D50" s="63">
        <f>D49/D$44</f>
        <v>0.14051398337112622</v>
      </c>
      <c r="E50" s="63">
        <f>E49/E$44</f>
        <v>0.22391899288451012</v>
      </c>
      <c r="F50" s="63">
        <f>F49/F$44</f>
        <v>0.27125697125697124</v>
      </c>
    </row>
    <row r="52" spans="1:6" ht="17">
      <c r="A52" s="3" t="s">
        <v>86</v>
      </c>
      <c r="B52" s="53">
        <f>SUM(B40:E40)</f>
        <v>-8946.2500000000018</v>
      </c>
      <c r="C52" s="53">
        <f>SUM(F40:I40)</f>
        <v>-1585.2500000000018</v>
      </c>
      <c r="D52" s="53">
        <f>SUM(J40:M40)</f>
        <v>7900.75</v>
      </c>
      <c r="E52" s="53">
        <f>SUM(N40:Q40)</f>
        <v>17386.75</v>
      </c>
      <c r="F52" s="53">
        <f>SUM(R40:U40)</f>
        <v>26872.75</v>
      </c>
    </row>
    <row r="53" spans="1:6" ht="17">
      <c r="A53" s="3" t="s">
        <v>79</v>
      </c>
      <c r="B53" s="63">
        <f>B52/B$44</f>
        <v>-0.56801587301587309</v>
      </c>
      <c r="C53" s="63">
        <f>C52/C$44</f>
        <v>-3.8711843711843753E-2</v>
      </c>
      <c r="D53" s="63">
        <f>D52/D$44</f>
        <v>0.1194368858654573</v>
      </c>
      <c r="E53" s="63">
        <f>E52/E$44</f>
        <v>0.19033114395183362</v>
      </c>
      <c r="F53" s="63">
        <f>F52/F$44</f>
        <v>0.23056842556842558</v>
      </c>
    </row>
  </sheetData>
  <sheetProtection sheet="1" objects="1" scenarios="1" selectLockedCells="1" selectUnlockedCells="1"/>
  <mergeCells count="5">
    <mergeCell ref="B2:M2"/>
    <mergeCell ref="N2:Y2"/>
    <mergeCell ref="Z2:AK2"/>
    <mergeCell ref="AL2:AW2"/>
    <mergeCell ref="AX2:BI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BJ47"/>
  <sheetViews>
    <sheetView showGridLines="0" showRowColHeaders="0" zoomScale="80" zoomScaleNormal="80" zoomScalePageLayoutView="80" workbookViewId="0">
      <selection activeCell="B19" sqref="B19"/>
    </sheetView>
  </sheetViews>
  <sheetFormatPr baseColWidth="10" defaultColWidth="8.83203125" defaultRowHeight="13" x14ac:dyDescent="0"/>
  <cols>
    <col min="1" max="1" width="24.6640625" style="6" customWidth="1"/>
    <col min="2" max="61" width="12.5" style="6" customWidth="1"/>
    <col min="62" max="16384" width="8.83203125" style="6"/>
  </cols>
  <sheetData>
    <row r="1" spans="1:62" ht="100" customHeight="1"/>
    <row r="2" spans="1:62" s="3" customFormat="1" ht="17" customHeight="1">
      <c r="A2" s="45"/>
      <c r="B2" s="208">
        <f>Para!C17</f>
        <v>2018</v>
      </c>
      <c r="C2" s="208"/>
      <c r="D2" s="208"/>
      <c r="E2" s="208"/>
      <c r="F2" s="208">
        <f>B2+1</f>
        <v>2019</v>
      </c>
      <c r="G2" s="208"/>
      <c r="H2" s="208"/>
      <c r="I2" s="208"/>
      <c r="J2" s="208">
        <f>F2+1</f>
        <v>2020</v>
      </c>
      <c r="K2" s="208"/>
      <c r="L2" s="208"/>
      <c r="M2" s="208"/>
      <c r="N2" s="208">
        <f>J2+1</f>
        <v>2021</v>
      </c>
      <c r="O2" s="208"/>
      <c r="P2" s="208"/>
      <c r="Q2" s="208"/>
      <c r="R2" s="208">
        <f>N2+1</f>
        <v>2022</v>
      </c>
      <c r="S2" s="208"/>
      <c r="T2" s="208"/>
      <c r="U2" s="208"/>
    </row>
    <row r="3" spans="1:62" ht="17">
      <c r="A3" s="45"/>
      <c r="B3" s="52" t="str">
        <f>"Q1 "&amp;B2</f>
        <v>Q1 2018</v>
      </c>
      <c r="C3" s="52" t="str">
        <f>"Q2 "&amp;B2</f>
        <v>Q2 2018</v>
      </c>
      <c r="D3" s="52" t="str">
        <f>"Q3 "&amp;B2</f>
        <v>Q3 2018</v>
      </c>
      <c r="E3" s="52" t="str">
        <f>"Q4 "&amp;B2</f>
        <v>Q4 2018</v>
      </c>
      <c r="F3" s="52" t="str">
        <f t="shared" ref="F3" si="0">"Q1 "&amp;F2</f>
        <v>Q1 2019</v>
      </c>
      <c r="G3" s="52" t="str">
        <f t="shared" ref="G3" si="1">"Q2 "&amp;F2</f>
        <v>Q2 2019</v>
      </c>
      <c r="H3" s="52" t="str">
        <f t="shared" ref="H3" si="2">"Q3 "&amp;F2</f>
        <v>Q3 2019</v>
      </c>
      <c r="I3" s="52" t="str">
        <f t="shared" ref="I3" si="3">"Q4 "&amp;F2</f>
        <v>Q4 2019</v>
      </c>
      <c r="J3" s="52" t="str">
        <f t="shared" ref="J3" si="4">"Q1 "&amp;J2</f>
        <v>Q1 2020</v>
      </c>
      <c r="K3" s="52" t="str">
        <f t="shared" ref="K3" si="5">"Q2 "&amp;J2</f>
        <v>Q2 2020</v>
      </c>
      <c r="L3" s="52" t="str">
        <f t="shared" ref="L3" si="6">"Q3 "&amp;J2</f>
        <v>Q3 2020</v>
      </c>
      <c r="M3" s="52" t="str">
        <f t="shared" ref="M3" si="7">"Q4 "&amp;J2</f>
        <v>Q4 2020</v>
      </c>
      <c r="N3" s="52" t="str">
        <f t="shared" ref="N3" si="8">"Q1 "&amp;N2</f>
        <v>Q1 2021</v>
      </c>
      <c r="O3" s="52" t="str">
        <f t="shared" ref="O3" si="9">"Q2 "&amp;N2</f>
        <v>Q2 2021</v>
      </c>
      <c r="P3" s="52" t="str">
        <f t="shared" ref="P3" si="10">"Q3 "&amp;N2</f>
        <v>Q3 2021</v>
      </c>
      <c r="Q3" s="52" t="str">
        <f t="shared" ref="Q3" si="11">"Q4 "&amp;N2</f>
        <v>Q4 2021</v>
      </c>
      <c r="R3" s="52" t="str">
        <f t="shared" ref="R3" si="12">"Q1 "&amp;R2</f>
        <v>Q1 2022</v>
      </c>
      <c r="S3" s="52" t="str">
        <f t="shared" ref="S3" si="13">"Q2 "&amp;R2</f>
        <v>Q2 2022</v>
      </c>
      <c r="T3" s="52" t="str">
        <f t="shared" ref="T3" si="14">"Q3 "&amp;R2</f>
        <v>Q3 2022</v>
      </c>
      <c r="U3" s="52" t="str">
        <f t="shared" ref="U3" si="15">"Q4 "&amp;R2</f>
        <v>Q4 2022</v>
      </c>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row>
    <row r="4" spans="1:62" ht="17">
      <c r="A4" s="42" t="s">
        <v>71</v>
      </c>
      <c r="B4" s="53">
        <f>Inc!B40</f>
        <v>-1532.125</v>
      </c>
      <c r="C4" s="53">
        <f>Inc!C40</f>
        <v>-3064.2500000000009</v>
      </c>
      <c r="D4" s="53">
        <f>Inc!D40</f>
        <v>-2471.3750000000009</v>
      </c>
      <c r="E4" s="53">
        <f>Inc!E40</f>
        <v>-1878.5000000000005</v>
      </c>
      <c r="F4" s="53">
        <f>Inc!F40</f>
        <v>-1285.6250000000005</v>
      </c>
      <c r="G4" s="53">
        <f>Inc!G40</f>
        <v>-692.75000000000057</v>
      </c>
      <c r="H4" s="53">
        <f>Inc!H40</f>
        <v>-99.875000000000483</v>
      </c>
      <c r="I4" s="53">
        <f>Inc!I40</f>
        <v>492.99999999999955</v>
      </c>
      <c r="J4" s="53">
        <f>Inc!J40</f>
        <v>1085.8749999999995</v>
      </c>
      <c r="K4" s="53">
        <f>Inc!K40</f>
        <v>1678.7499999999995</v>
      </c>
      <c r="L4" s="53">
        <f>Inc!L40</f>
        <v>2271.625</v>
      </c>
      <c r="M4" s="53">
        <f>Inc!M40</f>
        <v>2864.5000000000005</v>
      </c>
      <c r="N4" s="53">
        <f>Inc!N40</f>
        <v>3457.3750000000005</v>
      </c>
      <c r="O4" s="53">
        <f>Inc!O40</f>
        <v>4050.2500000000005</v>
      </c>
      <c r="P4" s="53">
        <f>Inc!P40</f>
        <v>4643.125</v>
      </c>
      <c r="Q4" s="53">
        <f>Inc!Q40</f>
        <v>5236</v>
      </c>
      <c r="R4" s="53">
        <f>Inc!R40</f>
        <v>5828.875</v>
      </c>
      <c r="S4" s="53">
        <f>Inc!S40</f>
        <v>6421.75</v>
      </c>
      <c r="T4" s="53">
        <f>Inc!T40</f>
        <v>7014.625</v>
      </c>
      <c r="U4" s="53">
        <f>Inc!U40</f>
        <v>7607.5</v>
      </c>
      <c r="V4" s="45"/>
    </row>
    <row r="5" spans="1:62" ht="17">
      <c r="A5" s="42" t="s">
        <v>117</v>
      </c>
      <c r="B5" s="53">
        <f>SUM(Inc!B9:D9)</f>
        <v>0</v>
      </c>
      <c r="C5" s="53">
        <f>SUM(Inc!E9:G9)</f>
        <v>2500</v>
      </c>
      <c r="D5" s="53">
        <f>SUM(Inc!H9:J9)</f>
        <v>2500</v>
      </c>
      <c r="E5" s="53">
        <f>SUM(Inc!K9:M9)</f>
        <v>2500</v>
      </c>
      <c r="F5" s="53">
        <f>SUM(Inc!N9:P9)</f>
        <v>2500</v>
      </c>
      <c r="G5" s="53">
        <f>SUM(Inc!Q9:S9)</f>
        <v>2500</v>
      </c>
      <c r="H5" s="53">
        <f>SUM(Inc!T9:V9)</f>
        <v>2500</v>
      </c>
      <c r="I5" s="53">
        <f>SUM(Inc!W9:Y9)</f>
        <v>2500</v>
      </c>
      <c r="J5" s="53">
        <f>SUM(Inc!Z9:AB9)</f>
        <v>2500</v>
      </c>
      <c r="K5" s="53">
        <f>SUM(Inc!AC9:AE9)</f>
        <v>2500</v>
      </c>
      <c r="L5" s="53">
        <f>SUM(Inc!AF9:AH9)</f>
        <v>2500</v>
      </c>
      <c r="M5" s="53">
        <f>SUM(Inc!AI9:AK9)</f>
        <v>2500</v>
      </c>
      <c r="N5" s="53">
        <f>SUM(Inc!AL9:AN9)</f>
        <v>2500</v>
      </c>
      <c r="O5" s="53">
        <f>SUM(Inc!AO9:AQ9)</f>
        <v>2500</v>
      </c>
      <c r="P5" s="53">
        <f>SUM(Inc!AR9:AT9)</f>
        <v>2500</v>
      </c>
      <c r="Q5" s="53">
        <f>SUM(Inc!AU9:AW9)</f>
        <v>2500</v>
      </c>
      <c r="R5" s="53">
        <f>SUM(Inc!AX9:AZ9)</f>
        <v>2500</v>
      </c>
      <c r="S5" s="53">
        <f>SUM(Inc!BA9:BC9)</f>
        <v>2500</v>
      </c>
      <c r="T5" s="53">
        <f>SUM(Inc!BD9:BF9)</f>
        <v>2500</v>
      </c>
      <c r="U5" s="53">
        <f>SUM(Inc!BG9:BI9)</f>
        <v>2500</v>
      </c>
      <c r="V5" s="45"/>
    </row>
    <row r="6" spans="1:62">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row>
    <row r="7" spans="1:62" ht="17">
      <c r="A7" s="42" t="s">
        <v>92</v>
      </c>
      <c r="B7" s="53">
        <f>Bal!B6-Bal!C6</f>
        <v>-850.5</v>
      </c>
      <c r="C7" s="53">
        <f>Bal!C6-Bal!D6</f>
        <v>-850.5</v>
      </c>
      <c r="D7" s="53">
        <f>Bal!D6-Bal!E6</f>
        <v>-850.5</v>
      </c>
      <c r="E7" s="53">
        <f>Bal!E6-Bal!F6</f>
        <v>-850.5</v>
      </c>
      <c r="F7" s="53">
        <f>Bal!F6-Bal!G6</f>
        <v>-850.5</v>
      </c>
      <c r="G7" s="53">
        <f>Bal!G6-Bal!H6</f>
        <v>-850.5</v>
      </c>
      <c r="H7" s="53">
        <f>Bal!H6-Bal!I6</f>
        <v>-850.5</v>
      </c>
      <c r="I7" s="53">
        <f>Bal!I6-Bal!J6</f>
        <v>-850.5</v>
      </c>
      <c r="J7" s="53">
        <f>Bal!J6-Bal!K6</f>
        <v>-850.50000000000091</v>
      </c>
      <c r="K7" s="53">
        <f>Bal!K6-Bal!L6</f>
        <v>-850.49999999999909</v>
      </c>
      <c r="L7" s="53">
        <f>Bal!L6-Bal!M6</f>
        <v>-850.5</v>
      </c>
      <c r="M7" s="53">
        <f>Bal!M6-Bal!N6</f>
        <v>-850.5</v>
      </c>
      <c r="N7" s="53">
        <f>Bal!N6-Bal!O6</f>
        <v>-850.5</v>
      </c>
      <c r="O7" s="53">
        <f>Bal!O6-Bal!P6</f>
        <v>-850.5</v>
      </c>
      <c r="P7" s="53">
        <f>Bal!P6-Bal!Q6</f>
        <v>-850.5</v>
      </c>
      <c r="Q7" s="53">
        <f>Bal!Q6-Bal!R6</f>
        <v>-850.5</v>
      </c>
      <c r="R7" s="53">
        <f>Bal!R6-Bal!S6</f>
        <v>-850.50000000000182</v>
      </c>
      <c r="S7" s="53">
        <f>Bal!S6-Bal!T6</f>
        <v>-850.5</v>
      </c>
      <c r="T7" s="53">
        <f>Bal!T6-Bal!U6</f>
        <v>-850.5</v>
      </c>
      <c r="U7" s="53">
        <f>Bal!U6-Bal!V6</f>
        <v>-850.49999999999818</v>
      </c>
      <c r="V7" s="45"/>
    </row>
    <row r="8" spans="1:62" ht="17">
      <c r="A8" s="42" t="s">
        <v>111</v>
      </c>
      <c r="B8" s="53">
        <f>Bal!B7-Bal!C7</f>
        <v>-421.2</v>
      </c>
      <c r="C8" s="53">
        <f>Bal!C7-Bal!D7</f>
        <v>-1621.1999999999998</v>
      </c>
      <c r="D8" s="53">
        <f>Bal!D7-Bal!E7</f>
        <v>-421.20000000000005</v>
      </c>
      <c r="E8" s="53">
        <f>Bal!E7-Bal!F7</f>
        <v>-421.19999999999982</v>
      </c>
      <c r="F8" s="53">
        <f>Bal!F7-Bal!G7</f>
        <v>-421.20000000000027</v>
      </c>
      <c r="G8" s="53">
        <f>Bal!G7-Bal!H7</f>
        <v>-421.19999999999982</v>
      </c>
      <c r="H8" s="53">
        <f>Bal!H7-Bal!I7</f>
        <v>-421.19999999999982</v>
      </c>
      <c r="I8" s="53">
        <f>Bal!I7-Bal!J7</f>
        <v>-421.19999999999982</v>
      </c>
      <c r="J8" s="53">
        <f>Bal!J7-Bal!K7</f>
        <v>-421.20000000000073</v>
      </c>
      <c r="K8" s="53">
        <f>Bal!K7-Bal!L7</f>
        <v>-421.19999999999982</v>
      </c>
      <c r="L8" s="53">
        <f>Bal!L7-Bal!M7</f>
        <v>-421.19999999999982</v>
      </c>
      <c r="M8" s="53">
        <f>Bal!M7-Bal!N7</f>
        <v>-421.19999999999982</v>
      </c>
      <c r="N8" s="53">
        <f>Bal!N7-Bal!O7</f>
        <v>-421.19999999999982</v>
      </c>
      <c r="O8" s="53">
        <f>Bal!O7-Bal!P7</f>
        <v>-421.20000000000073</v>
      </c>
      <c r="P8" s="53">
        <f>Bal!P7-Bal!Q7</f>
        <v>-421.19999999999982</v>
      </c>
      <c r="Q8" s="53">
        <f>Bal!Q7-Bal!R7</f>
        <v>-421.19999999999982</v>
      </c>
      <c r="R8" s="53">
        <f>Bal!R7-Bal!S7</f>
        <v>-421.19999999999982</v>
      </c>
      <c r="S8" s="53">
        <f>Bal!S7-Bal!T7</f>
        <v>-421.20000000000073</v>
      </c>
      <c r="T8" s="53">
        <f>Bal!T7-Bal!U7</f>
        <v>-421.19999999999891</v>
      </c>
      <c r="U8" s="53">
        <f>Bal!U7-Bal!V7</f>
        <v>-421.20000000000073</v>
      </c>
      <c r="V8" s="45"/>
    </row>
    <row r="9" spans="1:62" ht="17">
      <c r="A9" s="42" t="s">
        <v>94</v>
      </c>
      <c r="B9" s="53">
        <f>Bal!B8-Bal!C8</f>
        <v>0</v>
      </c>
      <c r="C9" s="53">
        <f>Bal!C8-Bal!D8</f>
        <v>0</v>
      </c>
      <c r="D9" s="53">
        <f>Bal!D8-Bal!E8</f>
        <v>0</v>
      </c>
      <c r="E9" s="53">
        <f>Bal!E8-Bal!F8</f>
        <v>0</v>
      </c>
      <c r="F9" s="53">
        <f>Bal!F8-Bal!G8</f>
        <v>0</v>
      </c>
      <c r="G9" s="53">
        <f>Bal!G8-Bal!H8</f>
        <v>0</v>
      </c>
      <c r="H9" s="53">
        <f>Bal!H8-Bal!I8</f>
        <v>0</v>
      </c>
      <c r="I9" s="53">
        <f>Bal!I8-Bal!J8</f>
        <v>0</v>
      </c>
      <c r="J9" s="53">
        <f>Bal!J8-Bal!K8</f>
        <v>0</v>
      </c>
      <c r="K9" s="53">
        <f>Bal!K8-Bal!L8</f>
        <v>0</v>
      </c>
      <c r="L9" s="53">
        <f>Bal!L8-Bal!M8</f>
        <v>0</v>
      </c>
      <c r="M9" s="53">
        <f>Bal!M8-Bal!N8</f>
        <v>0</v>
      </c>
      <c r="N9" s="53">
        <f>Bal!N8-Bal!O8</f>
        <v>0</v>
      </c>
      <c r="O9" s="53">
        <f>Bal!O8-Bal!P8</f>
        <v>0</v>
      </c>
      <c r="P9" s="53">
        <f>Bal!P8-Bal!Q8</f>
        <v>0</v>
      </c>
      <c r="Q9" s="53">
        <f>Bal!Q8-Bal!R8</f>
        <v>0</v>
      </c>
      <c r="R9" s="53">
        <f>Bal!R8-Bal!S8</f>
        <v>0</v>
      </c>
      <c r="S9" s="53">
        <f>Bal!S8-Bal!T8</f>
        <v>0</v>
      </c>
      <c r="T9" s="53">
        <f>Bal!T8-Bal!U8</f>
        <v>0</v>
      </c>
      <c r="U9" s="53">
        <f>Bal!U8-Bal!V8</f>
        <v>0</v>
      </c>
      <c r="V9" s="45"/>
    </row>
    <row r="10" spans="1:62" ht="17">
      <c r="A10" s="42" t="s">
        <v>96</v>
      </c>
      <c r="B10" s="53">
        <f>Bal!B12-Bal!C12</f>
        <v>-100000</v>
      </c>
      <c r="C10" s="53">
        <f>Bal!C12-Bal!D12</f>
        <v>0</v>
      </c>
      <c r="D10" s="53">
        <f>Bal!D12-Bal!E12</f>
        <v>0</v>
      </c>
      <c r="E10" s="53">
        <f>Bal!E12-Bal!F12</f>
        <v>0</v>
      </c>
      <c r="F10" s="53">
        <f>Bal!F12-Bal!G12</f>
        <v>0</v>
      </c>
      <c r="G10" s="53">
        <f>Bal!G12-Bal!H12</f>
        <v>0</v>
      </c>
      <c r="H10" s="53">
        <f>Bal!H12-Bal!I12</f>
        <v>0</v>
      </c>
      <c r="I10" s="53">
        <f>Bal!I12-Bal!J12</f>
        <v>0</v>
      </c>
      <c r="J10" s="53">
        <f>Bal!J12-Bal!K12</f>
        <v>0</v>
      </c>
      <c r="K10" s="53">
        <f>Bal!K12-Bal!L12</f>
        <v>0</v>
      </c>
      <c r="L10" s="53">
        <f>Bal!L12-Bal!M12</f>
        <v>0</v>
      </c>
      <c r="M10" s="53">
        <f>Bal!M12-Bal!N12</f>
        <v>0</v>
      </c>
      <c r="N10" s="53">
        <f>Bal!N12-Bal!O12</f>
        <v>0</v>
      </c>
      <c r="O10" s="53">
        <f>Bal!O12-Bal!P12</f>
        <v>0</v>
      </c>
      <c r="P10" s="53">
        <f>Bal!P12-Bal!Q12</f>
        <v>0</v>
      </c>
      <c r="Q10" s="53">
        <f>Bal!Q12-Bal!R12</f>
        <v>0</v>
      </c>
      <c r="R10" s="53">
        <f>Bal!R12-Bal!S12</f>
        <v>0</v>
      </c>
      <c r="S10" s="53">
        <f>Bal!S12-Bal!T12</f>
        <v>0</v>
      </c>
      <c r="T10" s="53">
        <f>Bal!T12-Bal!U12</f>
        <v>0</v>
      </c>
      <c r="U10" s="53">
        <f>Bal!U12-Bal!V12</f>
        <v>0</v>
      </c>
      <c r="V10" s="45"/>
    </row>
    <row r="11" spans="1:62">
      <c r="A11" s="45"/>
      <c r="B11" s="45"/>
      <c r="C11" s="45"/>
      <c r="D11" s="45"/>
      <c r="E11" s="45"/>
      <c r="F11" s="45"/>
      <c r="G11" s="45"/>
      <c r="H11" s="45"/>
      <c r="I11" s="45"/>
      <c r="J11" s="45"/>
      <c r="K11" s="45"/>
      <c r="L11" s="45"/>
      <c r="M11" s="45"/>
      <c r="N11" s="45"/>
      <c r="O11" s="45"/>
      <c r="P11" s="45"/>
      <c r="Q11" s="45"/>
      <c r="R11" s="45"/>
      <c r="S11" s="45"/>
      <c r="T11" s="45"/>
      <c r="U11" s="45"/>
      <c r="V11" s="45"/>
    </row>
    <row r="12" spans="1:62" ht="17">
      <c r="A12" s="42" t="s">
        <v>100</v>
      </c>
      <c r="B12" s="53">
        <f>Bal!C20-Bal!B20</f>
        <v>189</v>
      </c>
      <c r="C12" s="53">
        <f>Bal!D20-Bal!C20</f>
        <v>189</v>
      </c>
      <c r="D12" s="53">
        <f>Bal!E20-Bal!D20</f>
        <v>189</v>
      </c>
      <c r="E12" s="53">
        <f>Bal!F20-Bal!E20</f>
        <v>189</v>
      </c>
      <c r="F12" s="53">
        <f>Bal!G20-Bal!F20</f>
        <v>189</v>
      </c>
      <c r="G12" s="53">
        <f>Bal!H20-Bal!G20</f>
        <v>189</v>
      </c>
      <c r="H12" s="53">
        <f>Bal!I20-Bal!H20</f>
        <v>189</v>
      </c>
      <c r="I12" s="53">
        <f>Bal!J20-Bal!I20</f>
        <v>189</v>
      </c>
      <c r="J12" s="53">
        <f>Bal!K20-Bal!J20</f>
        <v>189</v>
      </c>
      <c r="K12" s="53">
        <f>Bal!L20-Bal!K20</f>
        <v>189</v>
      </c>
      <c r="L12" s="53">
        <f>Bal!M20-Bal!L20</f>
        <v>189</v>
      </c>
      <c r="M12" s="53">
        <f>Bal!N20-Bal!M20</f>
        <v>189</v>
      </c>
      <c r="N12" s="53">
        <f>Bal!O20-Bal!N20</f>
        <v>189</v>
      </c>
      <c r="O12" s="53">
        <f>Bal!P20-Bal!O20</f>
        <v>189</v>
      </c>
      <c r="P12" s="53">
        <f>Bal!Q20-Bal!P20</f>
        <v>189</v>
      </c>
      <c r="Q12" s="53">
        <f>Bal!R20-Bal!Q20</f>
        <v>189</v>
      </c>
      <c r="R12" s="53">
        <f>Bal!S20-Bal!R20</f>
        <v>189</v>
      </c>
      <c r="S12" s="53">
        <f>Bal!T20-Bal!S20</f>
        <v>189</v>
      </c>
      <c r="T12" s="53">
        <f>Bal!U20-Bal!T20</f>
        <v>189</v>
      </c>
      <c r="U12" s="53">
        <f>Bal!V20-Bal!U20</f>
        <v>189</v>
      </c>
      <c r="V12" s="45"/>
    </row>
    <row r="13" spans="1:62" ht="17">
      <c r="A13" s="42" t="s">
        <v>101</v>
      </c>
      <c r="B13" s="53">
        <f>Bal!C21-Bal!B21</f>
        <v>0</v>
      </c>
      <c r="C13" s="53">
        <f>Bal!D21-Bal!C21</f>
        <v>0</v>
      </c>
      <c r="D13" s="53">
        <f>Bal!E21-Bal!D21</f>
        <v>0</v>
      </c>
      <c r="E13" s="53">
        <f>Bal!F21-Bal!E21</f>
        <v>0</v>
      </c>
      <c r="F13" s="53">
        <f>Bal!G21-Bal!F21</f>
        <v>0</v>
      </c>
      <c r="G13" s="53">
        <f>Bal!H21-Bal!G21</f>
        <v>0</v>
      </c>
      <c r="H13" s="53">
        <f>Bal!I21-Bal!H21</f>
        <v>0</v>
      </c>
      <c r="I13" s="53">
        <f>Bal!J21-Bal!I21</f>
        <v>0</v>
      </c>
      <c r="J13" s="53">
        <f>Bal!K21-Bal!J21</f>
        <v>0</v>
      </c>
      <c r="K13" s="53">
        <f>Bal!L21-Bal!K21</f>
        <v>0</v>
      </c>
      <c r="L13" s="53">
        <f>Bal!M21-Bal!L21</f>
        <v>0</v>
      </c>
      <c r="M13" s="53">
        <f>Bal!N21-Bal!M21</f>
        <v>0</v>
      </c>
      <c r="N13" s="53">
        <f>Bal!O21-Bal!N21</f>
        <v>0</v>
      </c>
      <c r="O13" s="53">
        <f>Bal!P21-Bal!O21</f>
        <v>0</v>
      </c>
      <c r="P13" s="53">
        <f>Bal!Q21-Bal!P21</f>
        <v>0</v>
      </c>
      <c r="Q13" s="53">
        <f>Bal!R21-Bal!Q21</f>
        <v>0</v>
      </c>
      <c r="R13" s="53">
        <f>Bal!S21-Bal!R21</f>
        <v>0</v>
      </c>
      <c r="S13" s="53">
        <f>Bal!T21-Bal!S21</f>
        <v>0</v>
      </c>
      <c r="T13" s="53">
        <f>Bal!U21-Bal!T21</f>
        <v>0</v>
      </c>
      <c r="U13" s="53">
        <f>Bal!V21-Bal!U21</f>
        <v>0</v>
      </c>
      <c r="V13" s="45"/>
    </row>
    <row r="14" spans="1:62">
      <c r="A14" s="45"/>
      <c r="B14" s="45"/>
      <c r="C14" s="45"/>
      <c r="D14" s="45"/>
      <c r="E14" s="45"/>
      <c r="F14" s="45"/>
      <c r="G14" s="45"/>
      <c r="H14" s="45"/>
      <c r="I14" s="45"/>
      <c r="J14" s="45"/>
      <c r="K14" s="45"/>
      <c r="L14" s="45"/>
      <c r="M14" s="45"/>
      <c r="N14" s="45"/>
      <c r="O14" s="45"/>
      <c r="P14" s="45"/>
      <c r="Q14" s="45"/>
      <c r="R14" s="45"/>
      <c r="S14" s="45"/>
      <c r="T14" s="45"/>
      <c r="U14" s="45"/>
      <c r="V14" s="45"/>
    </row>
    <row r="15" spans="1:62" ht="17">
      <c r="A15" s="42" t="s">
        <v>103</v>
      </c>
      <c r="B15" s="53">
        <f>Bal!C25-Bal!B25</f>
        <v>100000</v>
      </c>
      <c r="C15" s="53">
        <f>Bal!D25-Bal!C25</f>
        <v>0</v>
      </c>
      <c r="D15" s="53">
        <f>Bal!E25-Bal!D25</f>
        <v>0</v>
      </c>
      <c r="E15" s="53">
        <f>Bal!F25-Bal!E25</f>
        <v>0</v>
      </c>
      <c r="F15" s="53">
        <f>Bal!G25-Bal!F25</f>
        <v>0</v>
      </c>
      <c r="G15" s="53">
        <f>Bal!H25-Bal!G25</f>
        <v>0</v>
      </c>
      <c r="H15" s="53">
        <f>Bal!I25-Bal!H25</f>
        <v>0</v>
      </c>
      <c r="I15" s="53">
        <f>Bal!J25-Bal!I25</f>
        <v>0</v>
      </c>
      <c r="J15" s="53">
        <f>Bal!K25-Bal!J25</f>
        <v>0</v>
      </c>
      <c r="K15" s="53">
        <f>Bal!L25-Bal!K25</f>
        <v>0</v>
      </c>
      <c r="L15" s="53">
        <f>Bal!M25-Bal!L25</f>
        <v>0</v>
      </c>
      <c r="M15" s="53">
        <f>Bal!N25-Bal!M25</f>
        <v>0</v>
      </c>
      <c r="N15" s="53">
        <f>Bal!O25-Bal!N25</f>
        <v>0</v>
      </c>
      <c r="O15" s="53">
        <f>Bal!P25-Bal!O25</f>
        <v>0</v>
      </c>
      <c r="P15" s="53">
        <f>Bal!Q25-Bal!P25</f>
        <v>0</v>
      </c>
      <c r="Q15" s="53">
        <f>Bal!R25-Bal!Q25</f>
        <v>0</v>
      </c>
      <c r="R15" s="53">
        <f>Bal!S25-Bal!R25</f>
        <v>0</v>
      </c>
      <c r="S15" s="53">
        <f>Bal!T25-Bal!S25</f>
        <v>0</v>
      </c>
      <c r="T15" s="53">
        <f>Bal!U25-Bal!T25</f>
        <v>0</v>
      </c>
      <c r="U15" s="53">
        <f>Bal!V25-Bal!U25</f>
        <v>0</v>
      </c>
      <c r="V15" s="45"/>
    </row>
    <row r="16" spans="1:62" ht="17">
      <c r="A16" s="42" t="s">
        <v>122</v>
      </c>
      <c r="B16" s="53">
        <f>Bal!C26-Bal!B26</f>
        <v>0</v>
      </c>
      <c r="C16" s="53">
        <f>Bal!D26-Bal!C26</f>
        <v>0</v>
      </c>
      <c r="D16" s="53">
        <f>Bal!E26-Bal!D26</f>
        <v>0</v>
      </c>
      <c r="E16" s="53">
        <f>Bal!F26-Bal!E26</f>
        <v>0</v>
      </c>
      <c r="F16" s="53">
        <f>Bal!G26-Bal!F26</f>
        <v>0</v>
      </c>
      <c r="G16" s="53">
        <f>Bal!H26-Bal!G26</f>
        <v>0</v>
      </c>
      <c r="H16" s="53">
        <f>Bal!I26-Bal!H26</f>
        <v>0</v>
      </c>
      <c r="I16" s="53">
        <f>Bal!J26-Bal!I26</f>
        <v>0</v>
      </c>
      <c r="J16" s="53">
        <f>Bal!K26-Bal!J26</f>
        <v>0</v>
      </c>
      <c r="K16" s="53">
        <f>Bal!L26-Bal!K26</f>
        <v>0</v>
      </c>
      <c r="L16" s="53">
        <f>Bal!M26-Bal!L26</f>
        <v>0</v>
      </c>
      <c r="M16" s="53">
        <f>Bal!N26-Bal!M26</f>
        <v>0</v>
      </c>
      <c r="N16" s="53">
        <f>Bal!O26-Bal!N26</f>
        <v>0</v>
      </c>
      <c r="O16" s="53">
        <f>Bal!P26-Bal!O26</f>
        <v>0</v>
      </c>
      <c r="P16" s="53">
        <f>Bal!Q26-Bal!P26</f>
        <v>0</v>
      </c>
      <c r="Q16" s="53">
        <f>Bal!R26-Bal!Q26</f>
        <v>0</v>
      </c>
      <c r="R16" s="53">
        <f>Bal!S26-Bal!R26</f>
        <v>0</v>
      </c>
      <c r="S16" s="53">
        <f>Bal!T26-Bal!S26</f>
        <v>0</v>
      </c>
      <c r="T16" s="53">
        <f>Bal!U26-Bal!T26</f>
        <v>0</v>
      </c>
      <c r="U16" s="53">
        <f>Bal!V26-Bal!U26</f>
        <v>0</v>
      </c>
      <c r="V16" s="45"/>
    </row>
    <row r="17" spans="1:22">
      <c r="A17" s="45"/>
      <c r="B17" s="45"/>
      <c r="C17" s="45"/>
      <c r="D17" s="45"/>
      <c r="E17" s="45"/>
      <c r="F17" s="45"/>
      <c r="G17" s="45"/>
      <c r="H17" s="45"/>
      <c r="I17" s="45"/>
      <c r="J17" s="45"/>
      <c r="K17" s="45"/>
      <c r="L17" s="45"/>
      <c r="M17" s="45"/>
      <c r="N17" s="45"/>
      <c r="O17" s="45"/>
      <c r="P17" s="45"/>
      <c r="Q17" s="45"/>
      <c r="R17" s="45"/>
      <c r="S17" s="45"/>
      <c r="T17" s="45"/>
      <c r="U17" s="45"/>
      <c r="V17" s="45"/>
    </row>
    <row r="18" spans="1:22" ht="17">
      <c r="A18" s="42" t="s">
        <v>106</v>
      </c>
      <c r="B18" s="53">
        <f>Bal!C30-Bal!B30</f>
        <v>0</v>
      </c>
      <c r="C18" s="53">
        <f>Bal!D30-Bal!C30</f>
        <v>0</v>
      </c>
      <c r="D18" s="53">
        <f>Bal!E30-Bal!D30</f>
        <v>0</v>
      </c>
      <c r="E18" s="53">
        <f>Bal!F30-Bal!E30</f>
        <v>0</v>
      </c>
      <c r="F18" s="53">
        <f>Bal!G30-Bal!F30</f>
        <v>0</v>
      </c>
      <c r="G18" s="53">
        <f>Bal!H30-Bal!G30</f>
        <v>0</v>
      </c>
      <c r="H18" s="53">
        <f>Bal!I30-Bal!H30</f>
        <v>0</v>
      </c>
      <c r="I18" s="53">
        <f>Bal!J30-Bal!I30</f>
        <v>0</v>
      </c>
      <c r="J18" s="53">
        <f>Bal!K30-Bal!J30</f>
        <v>0</v>
      </c>
      <c r="K18" s="53">
        <f>Bal!L30-Bal!K30</f>
        <v>0</v>
      </c>
      <c r="L18" s="53">
        <f>Bal!M30-Bal!L30</f>
        <v>0</v>
      </c>
      <c r="M18" s="53">
        <f>Bal!N30-Bal!M30</f>
        <v>0</v>
      </c>
      <c r="N18" s="53">
        <f>Bal!O30-Bal!N30</f>
        <v>0</v>
      </c>
      <c r="O18" s="53">
        <f>Bal!P30-Bal!O30</f>
        <v>0</v>
      </c>
      <c r="P18" s="53">
        <f>Bal!Q30-Bal!P30</f>
        <v>0</v>
      </c>
      <c r="Q18" s="53">
        <f>Bal!R30-Bal!Q30</f>
        <v>0</v>
      </c>
      <c r="R18" s="53">
        <f>Bal!S30-Bal!R30</f>
        <v>0</v>
      </c>
      <c r="S18" s="53">
        <f>Bal!T30-Bal!S30</f>
        <v>0</v>
      </c>
      <c r="T18" s="53">
        <f>Bal!U30-Bal!T30</f>
        <v>0</v>
      </c>
      <c r="U18" s="53">
        <f>Bal!V30-Bal!U30</f>
        <v>0</v>
      </c>
      <c r="V18" s="45"/>
    </row>
    <row r="19" spans="1:22" ht="17">
      <c r="A19" s="42" t="s">
        <v>126</v>
      </c>
      <c r="B19" s="54"/>
      <c r="C19" s="54"/>
      <c r="D19" s="54"/>
      <c r="E19" s="54"/>
      <c r="F19" s="54"/>
      <c r="G19" s="54"/>
      <c r="H19" s="54"/>
      <c r="I19" s="54"/>
      <c r="J19" s="54"/>
      <c r="K19" s="54"/>
      <c r="L19" s="54"/>
      <c r="M19" s="54"/>
      <c r="N19" s="54"/>
      <c r="O19" s="54"/>
      <c r="P19" s="54"/>
      <c r="Q19" s="54"/>
      <c r="R19" s="54"/>
      <c r="S19" s="54"/>
      <c r="T19" s="54"/>
      <c r="U19" s="54"/>
      <c r="V19" s="45"/>
    </row>
    <row r="20" spans="1:22">
      <c r="A20" s="45"/>
      <c r="B20" s="45"/>
      <c r="C20" s="45"/>
      <c r="D20" s="45"/>
      <c r="E20" s="45"/>
      <c r="F20" s="45"/>
      <c r="G20" s="45"/>
      <c r="H20" s="45"/>
      <c r="I20" s="45"/>
      <c r="J20" s="45"/>
      <c r="K20" s="45"/>
      <c r="L20" s="45"/>
      <c r="M20" s="45"/>
      <c r="N20" s="45"/>
      <c r="O20" s="45"/>
      <c r="P20" s="45"/>
      <c r="Q20" s="45"/>
      <c r="R20" s="45"/>
      <c r="S20" s="45"/>
      <c r="T20" s="45"/>
      <c r="U20" s="45"/>
      <c r="V20" s="45"/>
    </row>
    <row r="21" spans="1:22" ht="17">
      <c r="A21" s="42" t="s">
        <v>123</v>
      </c>
      <c r="B21" s="53">
        <f>SUM(B4:B19)</f>
        <v>-2614.8249999999971</v>
      </c>
      <c r="C21" s="53">
        <f t="shared" ref="C21:U21" si="16">SUM(C4:C19)</f>
        <v>-2846.9500000000007</v>
      </c>
      <c r="D21" s="53">
        <f t="shared" si="16"/>
        <v>-1054.075000000001</v>
      </c>
      <c r="E21" s="53">
        <f t="shared" si="16"/>
        <v>-461.20000000000027</v>
      </c>
      <c r="F21" s="53">
        <f t="shared" si="16"/>
        <v>131.67499999999927</v>
      </c>
      <c r="G21" s="53">
        <f t="shared" si="16"/>
        <v>724.54999999999973</v>
      </c>
      <c r="H21" s="53">
        <f t="shared" si="16"/>
        <v>1317.4249999999997</v>
      </c>
      <c r="I21" s="53">
        <f t="shared" si="16"/>
        <v>1910.2999999999997</v>
      </c>
      <c r="J21" s="53">
        <f t="shared" si="16"/>
        <v>2503.1749999999979</v>
      </c>
      <c r="K21" s="53">
        <f t="shared" si="16"/>
        <v>3096.0500000000011</v>
      </c>
      <c r="L21" s="53">
        <f t="shared" si="16"/>
        <v>3688.9250000000002</v>
      </c>
      <c r="M21" s="53">
        <f t="shared" si="16"/>
        <v>4281.8</v>
      </c>
      <c r="N21" s="53">
        <f t="shared" si="16"/>
        <v>4874.6750000000002</v>
      </c>
      <c r="O21" s="53">
        <f t="shared" si="16"/>
        <v>5467.5499999999993</v>
      </c>
      <c r="P21" s="53">
        <f t="shared" si="16"/>
        <v>6060.4250000000002</v>
      </c>
      <c r="Q21" s="53">
        <f t="shared" si="16"/>
        <v>6653.3</v>
      </c>
      <c r="R21" s="53">
        <f t="shared" si="16"/>
        <v>7246.1749999999984</v>
      </c>
      <c r="S21" s="53">
        <f t="shared" si="16"/>
        <v>7839.0499999999993</v>
      </c>
      <c r="T21" s="53">
        <f t="shared" si="16"/>
        <v>8431.9250000000011</v>
      </c>
      <c r="U21" s="53">
        <f t="shared" si="16"/>
        <v>9024.8000000000011</v>
      </c>
      <c r="V21" s="45"/>
    </row>
    <row r="22" spans="1:22" ht="17">
      <c r="A22" s="42" t="s">
        <v>124</v>
      </c>
      <c r="B22" s="53">
        <f>B21</f>
        <v>-2614.8249999999971</v>
      </c>
      <c r="C22" s="53">
        <f>C21+B22</f>
        <v>-5461.7749999999978</v>
      </c>
      <c r="D22" s="53">
        <f t="shared" ref="D22:U22" si="17">D21+C22</f>
        <v>-6515.8499999999985</v>
      </c>
      <c r="E22" s="53">
        <f t="shared" si="17"/>
        <v>-6977.0499999999993</v>
      </c>
      <c r="F22" s="53">
        <f t="shared" si="17"/>
        <v>-6845.375</v>
      </c>
      <c r="G22" s="53">
        <f t="shared" si="17"/>
        <v>-6120.8250000000007</v>
      </c>
      <c r="H22" s="53">
        <f t="shared" si="17"/>
        <v>-4803.4000000000015</v>
      </c>
      <c r="I22" s="53">
        <f t="shared" si="17"/>
        <v>-2893.1000000000017</v>
      </c>
      <c r="J22" s="53">
        <f t="shared" si="17"/>
        <v>-389.92500000000382</v>
      </c>
      <c r="K22" s="53">
        <f t="shared" si="17"/>
        <v>2706.1249999999973</v>
      </c>
      <c r="L22" s="53">
        <f t="shared" si="17"/>
        <v>6395.0499999999975</v>
      </c>
      <c r="M22" s="53">
        <f t="shared" si="17"/>
        <v>10676.849999999999</v>
      </c>
      <c r="N22" s="53">
        <f t="shared" si="17"/>
        <v>15551.524999999998</v>
      </c>
      <c r="O22" s="53">
        <f t="shared" si="17"/>
        <v>21019.074999999997</v>
      </c>
      <c r="P22" s="53">
        <f t="shared" si="17"/>
        <v>27079.499999999996</v>
      </c>
      <c r="Q22" s="53">
        <f t="shared" si="17"/>
        <v>33732.799999999996</v>
      </c>
      <c r="R22" s="53">
        <f t="shared" si="17"/>
        <v>40978.974999999991</v>
      </c>
      <c r="S22" s="53">
        <f t="shared" si="17"/>
        <v>48818.024999999994</v>
      </c>
      <c r="T22" s="53">
        <f t="shared" si="17"/>
        <v>57249.95</v>
      </c>
      <c r="U22" s="53">
        <f t="shared" si="17"/>
        <v>66274.75</v>
      </c>
      <c r="V22" s="45"/>
    </row>
    <row r="23" spans="1:22">
      <c r="A23" s="45"/>
      <c r="B23" s="45"/>
      <c r="C23" s="45"/>
      <c r="D23" s="45"/>
      <c r="E23" s="45"/>
      <c r="F23" s="45"/>
      <c r="G23" s="45"/>
      <c r="H23" s="45"/>
      <c r="I23" s="45"/>
      <c r="J23" s="45"/>
      <c r="K23" s="45"/>
      <c r="L23" s="45"/>
      <c r="M23" s="45"/>
      <c r="N23" s="45"/>
      <c r="O23" s="45"/>
      <c r="P23" s="45"/>
      <c r="Q23" s="45"/>
      <c r="R23" s="45"/>
      <c r="S23" s="45"/>
      <c r="T23" s="45"/>
      <c r="U23" s="45"/>
      <c r="V23" s="45"/>
    </row>
    <row r="24" spans="1:22" ht="17">
      <c r="A24" s="45"/>
      <c r="B24" s="55">
        <f>Vol!B2</f>
        <v>2018</v>
      </c>
      <c r="C24" s="55">
        <f>B24+1</f>
        <v>2019</v>
      </c>
      <c r="D24" s="55">
        <f>C24+1</f>
        <v>2020</v>
      </c>
      <c r="E24" s="55">
        <f>D24+1</f>
        <v>2021</v>
      </c>
      <c r="F24" s="55">
        <f>E24+1</f>
        <v>2022</v>
      </c>
      <c r="G24" s="45"/>
      <c r="H24" s="45"/>
      <c r="I24" s="45"/>
      <c r="J24" s="45"/>
      <c r="K24" s="45"/>
      <c r="L24" s="45"/>
      <c r="M24" s="45"/>
      <c r="N24" s="45"/>
      <c r="O24" s="45"/>
      <c r="P24" s="45"/>
      <c r="Q24" s="45"/>
      <c r="R24" s="45"/>
      <c r="S24" s="45"/>
      <c r="T24" s="45"/>
      <c r="U24" s="45"/>
      <c r="V24" s="45"/>
    </row>
    <row r="25" spans="1:22" ht="17">
      <c r="A25" s="42" t="s">
        <v>71</v>
      </c>
      <c r="B25" s="53">
        <f>SUM(B4:E4)</f>
        <v>-8946.2500000000018</v>
      </c>
      <c r="C25" s="53">
        <f>SUM(F4:I4)</f>
        <v>-1585.2500000000018</v>
      </c>
      <c r="D25" s="53">
        <f>SUM(J4:M4)</f>
        <v>7900.75</v>
      </c>
      <c r="E25" s="53">
        <f>SUM(N4:Q4)</f>
        <v>17386.75</v>
      </c>
      <c r="F25" s="53">
        <f>SUM(R4:U4)</f>
        <v>26872.75</v>
      </c>
      <c r="G25" s="45"/>
      <c r="H25" s="45"/>
      <c r="I25" s="45"/>
      <c r="J25" s="45"/>
      <c r="K25" s="45"/>
      <c r="L25" s="45"/>
      <c r="M25" s="45"/>
      <c r="N25" s="45"/>
      <c r="O25" s="45"/>
      <c r="P25" s="45"/>
      <c r="Q25" s="45"/>
      <c r="R25" s="45"/>
      <c r="S25" s="45"/>
      <c r="T25" s="45"/>
      <c r="U25" s="45"/>
      <c r="V25" s="45"/>
    </row>
    <row r="26" spans="1:22" ht="17">
      <c r="A26" s="42" t="s">
        <v>117</v>
      </c>
      <c r="B26" s="53">
        <f>SUM(B5:E5)</f>
        <v>7500</v>
      </c>
      <c r="C26" s="53">
        <f>SUM(F5:I5)</f>
        <v>10000</v>
      </c>
      <c r="D26" s="53">
        <f>SUM(J5:M5)</f>
        <v>10000</v>
      </c>
      <c r="E26" s="53">
        <f>SUM(N5:Q5)</f>
        <v>10000</v>
      </c>
      <c r="F26" s="53">
        <f>SUM(R5:U5)</f>
        <v>10000</v>
      </c>
      <c r="G26" s="45"/>
      <c r="H26" s="45"/>
      <c r="I26" s="45"/>
      <c r="J26" s="45"/>
      <c r="K26" s="45"/>
      <c r="L26" s="45"/>
      <c r="M26" s="45"/>
      <c r="N26" s="45"/>
      <c r="O26" s="45"/>
      <c r="P26" s="45"/>
      <c r="Q26" s="45"/>
      <c r="R26" s="45"/>
      <c r="S26" s="45"/>
      <c r="T26" s="45"/>
      <c r="U26" s="45"/>
      <c r="V26" s="45"/>
    </row>
    <row r="27" spans="1:22">
      <c r="A27" s="45"/>
      <c r="B27" s="45"/>
      <c r="C27" s="45"/>
      <c r="D27" s="45"/>
      <c r="E27" s="45"/>
      <c r="F27" s="45"/>
      <c r="G27" s="45"/>
      <c r="H27" s="45"/>
      <c r="I27" s="45"/>
      <c r="J27" s="45"/>
      <c r="K27" s="45"/>
      <c r="L27" s="45"/>
      <c r="M27" s="45"/>
      <c r="N27" s="45"/>
      <c r="O27" s="45"/>
      <c r="P27" s="45"/>
      <c r="Q27" s="45"/>
      <c r="R27" s="45"/>
      <c r="S27" s="45"/>
      <c r="T27" s="45"/>
      <c r="U27" s="45"/>
      <c r="V27" s="45"/>
    </row>
    <row r="28" spans="1:22" ht="17">
      <c r="A28" s="42" t="s">
        <v>92</v>
      </c>
      <c r="B28" s="53">
        <f>SUM(B7:E7)</f>
        <v>-3402</v>
      </c>
      <c r="C28" s="53">
        <f>SUM(F7:I7)</f>
        <v>-3402</v>
      </c>
      <c r="D28" s="53">
        <f>SUM(J7:M7)</f>
        <v>-3402</v>
      </c>
      <c r="E28" s="53">
        <f>SUM(N7:Q7)</f>
        <v>-3402</v>
      </c>
      <c r="F28" s="53">
        <f>SUM(R7:U7)</f>
        <v>-3402</v>
      </c>
      <c r="G28" s="45"/>
      <c r="H28" s="45"/>
      <c r="I28" s="45"/>
      <c r="J28" s="45"/>
      <c r="K28" s="45"/>
      <c r="L28" s="45"/>
      <c r="M28" s="45"/>
      <c r="N28" s="45"/>
      <c r="O28" s="45"/>
      <c r="P28" s="45"/>
      <c r="Q28" s="45"/>
      <c r="R28" s="45"/>
      <c r="S28" s="45"/>
      <c r="T28" s="45"/>
      <c r="U28" s="45"/>
      <c r="V28" s="45"/>
    </row>
    <row r="29" spans="1:22" ht="17">
      <c r="A29" s="42" t="s">
        <v>111</v>
      </c>
      <c r="B29" s="53">
        <f>SUM(B8:E8)</f>
        <v>-2884.7999999999997</v>
      </c>
      <c r="C29" s="53">
        <f>SUM(F8:I8)</f>
        <v>-1684.7999999999997</v>
      </c>
      <c r="D29" s="53">
        <f>SUM(J8:M8)</f>
        <v>-1684.8000000000002</v>
      </c>
      <c r="E29" s="53">
        <f>SUM(N8:Q8)</f>
        <v>-1684.8000000000002</v>
      </c>
      <c r="F29" s="53">
        <f>SUM(R8:U8)</f>
        <v>-1684.8000000000002</v>
      </c>
      <c r="G29" s="45"/>
      <c r="H29" s="45"/>
      <c r="I29" s="45"/>
      <c r="J29" s="45"/>
      <c r="K29" s="45"/>
      <c r="L29" s="45"/>
      <c r="M29" s="45"/>
      <c r="N29" s="45"/>
      <c r="O29" s="45"/>
      <c r="P29" s="45"/>
      <c r="Q29" s="45"/>
      <c r="R29" s="45"/>
      <c r="S29" s="45"/>
      <c r="T29" s="45"/>
      <c r="U29" s="45"/>
      <c r="V29" s="45"/>
    </row>
    <row r="30" spans="1:22" ht="17">
      <c r="A30" s="42" t="s">
        <v>94</v>
      </c>
      <c r="B30" s="53">
        <f>SUM(B9:E9)</f>
        <v>0</v>
      </c>
      <c r="C30" s="53">
        <f>SUM(F9:I9)</f>
        <v>0</v>
      </c>
      <c r="D30" s="53">
        <f>SUM(J9:M9)</f>
        <v>0</v>
      </c>
      <c r="E30" s="53">
        <f>SUM(N9:Q9)</f>
        <v>0</v>
      </c>
      <c r="F30" s="53">
        <f>SUM(R9:U9)</f>
        <v>0</v>
      </c>
      <c r="G30" s="45"/>
      <c r="H30" s="45"/>
      <c r="I30" s="45"/>
      <c r="J30" s="45"/>
      <c r="K30" s="45"/>
      <c r="L30" s="45"/>
      <c r="M30" s="45"/>
      <c r="N30" s="45"/>
      <c r="O30" s="45"/>
      <c r="P30" s="45"/>
      <c r="Q30" s="45"/>
      <c r="R30" s="45"/>
      <c r="S30" s="45"/>
      <c r="T30" s="45"/>
      <c r="U30" s="45"/>
      <c r="V30" s="45"/>
    </row>
    <row r="31" spans="1:22" ht="17">
      <c r="A31" s="42" t="s">
        <v>96</v>
      </c>
      <c r="B31" s="53">
        <f>SUM(B10:E10)</f>
        <v>-100000</v>
      </c>
      <c r="C31" s="53">
        <f>SUM(F10:I10)</f>
        <v>0</v>
      </c>
      <c r="D31" s="53">
        <f>SUM(J10:M10)</f>
        <v>0</v>
      </c>
      <c r="E31" s="53">
        <f>SUM(N10:Q10)</f>
        <v>0</v>
      </c>
      <c r="F31" s="53">
        <f>SUM(R10:U10)</f>
        <v>0</v>
      </c>
      <c r="G31" s="45"/>
      <c r="H31" s="45"/>
      <c r="I31" s="45"/>
      <c r="J31" s="45"/>
      <c r="K31" s="45"/>
      <c r="L31" s="45"/>
      <c r="M31" s="45"/>
      <c r="N31" s="45"/>
      <c r="O31" s="45"/>
      <c r="P31" s="45"/>
      <c r="Q31" s="45"/>
      <c r="R31" s="45"/>
      <c r="S31" s="45"/>
      <c r="T31" s="45"/>
      <c r="U31" s="45"/>
      <c r="V31" s="45"/>
    </row>
    <row r="32" spans="1:22">
      <c r="A32" s="45"/>
      <c r="B32" s="45"/>
      <c r="C32" s="45"/>
      <c r="D32" s="45"/>
      <c r="E32" s="45"/>
      <c r="F32" s="45"/>
      <c r="G32" s="45"/>
      <c r="H32" s="45"/>
      <c r="I32" s="45"/>
      <c r="J32" s="45"/>
      <c r="K32" s="45"/>
      <c r="L32" s="45"/>
      <c r="M32" s="45"/>
      <c r="N32" s="45"/>
      <c r="O32" s="45"/>
      <c r="P32" s="45"/>
      <c r="Q32" s="45"/>
      <c r="R32" s="45"/>
      <c r="S32" s="45"/>
      <c r="T32" s="45"/>
      <c r="U32" s="45"/>
      <c r="V32" s="45"/>
    </row>
    <row r="33" spans="1:22" ht="17">
      <c r="A33" s="42" t="s">
        <v>100</v>
      </c>
      <c r="B33" s="53">
        <f>SUM(B12:E12)</f>
        <v>756</v>
      </c>
      <c r="C33" s="53">
        <f>SUM(F12:I12)</f>
        <v>756</v>
      </c>
      <c r="D33" s="53">
        <f>SUM(J12:M12)</f>
        <v>756</v>
      </c>
      <c r="E33" s="53">
        <f>SUM(N12:Q12)</f>
        <v>756</v>
      </c>
      <c r="F33" s="53">
        <f>SUM(R12:U12)</f>
        <v>756</v>
      </c>
      <c r="G33" s="45"/>
      <c r="H33" s="45"/>
      <c r="I33" s="45"/>
      <c r="J33" s="45"/>
      <c r="K33" s="45"/>
      <c r="L33" s="45"/>
      <c r="M33" s="45"/>
      <c r="N33" s="45"/>
      <c r="O33" s="45"/>
      <c r="P33" s="45"/>
      <c r="Q33" s="45"/>
      <c r="R33" s="45"/>
      <c r="S33" s="45"/>
      <c r="T33" s="45"/>
      <c r="U33" s="45"/>
      <c r="V33" s="45"/>
    </row>
    <row r="34" spans="1:22" ht="17">
      <c r="A34" s="42" t="s">
        <v>101</v>
      </c>
      <c r="B34" s="53">
        <f>SUM(B13:E13)</f>
        <v>0</v>
      </c>
      <c r="C34" s="53">
        <f>SUM(F13:I13)</f>
        <v>0</v>
      </c>
      <c r="D34" s="53">
        <f>SUM(J13:M13)</f>
        <v>0</v>
      </c>
      <c r="E34" s="53">
        <f>SUM(N13:Q13)</f>
        <v>0</v>
      </c>
      <c r="F34" s="53">
        <f>SUM(R13:U13)</f>
        <v>0</v>
      </c>
      <c r="G34" s="45"/>
      <c r="H34" s="45"/>
      <c r="I34" s="45"/>
      <c r="J34" s="45"/>
      <c r="K34" s="45"/>
      <c r="L34" s="45"/>
      <c r="M34" s="45"/>
      <c r="N34" s="45"/>
      <c r="O34" s="45"/>
      <c r="P34" s="45"/>
      <c r="Q34" s="45"/>
      <c r="R34" s="45"/>
      <c r="S34" s="45"/>
      <c r="T34" s="45"/>
      <c r="U34" s="45"/>
      <c r="V34" s="45"/>
    </row>
    <row r="35" spans="1:22">
      <c r="A35" s="45"/>
      <c r="B35" s="45"/>
      <c r="C35" s="45"/>
      <c r="D35" s="45"/>
      <c r="E35" s="45"/>
      <c r="F35" s="45"/>
      <c r="G35" s="45"/>
      <c r="H35" s="45"/>
      <c r="I35" s="45"/>
      <c r="J35" s="45"/>
      <c r="K35" s="45"/>
      <c r="L35" s="45"/>
      <c r="M35" s="45"/>
      <c r="N35" s="45"/>
      <c r="O35" s="45"/>
      <c r="P35" s="45"/>
      <c r="Q35" s="45"/>
      <c r="R35" s="45"/>
      <c r="S35" s="45"/>
      <c r="T35" s="45"/>
      <c r="U35" s="45"/>
      <c r="V35" s="45"/>
    </row>
    <row r="36" spans="1:22" ht="17">
      <c r="A36" s="42" t="s">
        <v>103</v>
      </c>
      <c r="B36" s="53">
        <f>SUM(B15:E15)</f>
        <v>100000</v>
      </c>
      <c r="C36" s="53">
        <f>SUM(F15:I15)</f>
        <v>0</v>
      </c>
      <c r="D36" s="53">
        <f>SUM(J15:M15)</f>
        <v>0</v>
      </c>
      <c r="E36" s="53">
        <f>SUM(N15:Q15)</f>
        <v>0</v>
      </c>
      <c r="F36" s="53">
        <f>SUM(R15:U15)</f>
        <v>0</v>
      </c>
      <c r="G36" s="45"/>
      <c r="H36" s="45"/>
      <c r="I36" s="45"/>
      <c r="J36" s="45"/>
      <c r="K36" s="45"/>
      <c r="L36" s="45"/>
      <c r="M36" s="45"/>
      <c r="N36" s="45"/>
      <c r="O36" s="45"/>
      <c r="P36" s="45"/>
      <c r="Q36" s="45"/>
      <c r="R36" s="45"/>
      <c r="S36" s="45"/>
      <c r="T36" s="45"/>
      <c r="U36" s="45"/>
      <c r="V36" s="45"/>
    </row>
    <row r="37" spans="1:22" ht="17">
      <c r="A37" s="42" t="s">
        <v>122</v>
      </c>
      <c r="B37" s="53">
        <f>SUM(B16:E16)</f>
        <v>0</v>
      </c>
      <c r="C37" s="53">
        <f>SUM(F16:I16)</f>
        <v>0</v>
      </c>
      <c r="D37" s="53">
        <f>SUM(J16:M16)</f>
        <v>0</v>
      </c>
      <c r="E37" s="53">
        <f>SUM(N16:Q16)</f>
        <v>0</v>
      </c>
      <c r="F37" s="53">
        <f>SUM(R16:U16)</f>
        <v>0</v>
      </c>
      <c r="G37" s="45"/>
    </row>
    <row r="38" spans="1:22">
      <c r="A38" s="45"/>
      <c r="B38" s="45"/>
      <c r="C38" s="45"/>
      <c r="D38" s="45"/>
      <c r="E38" s="45"/>
      <c r="F38" s="45"/>
      <c r="G38" s="45"/>
      <c r="H38" s="45"/>
      <c r="I38" s="45"/>
      <c r="J38" s="45"/>
      <c r="K38" s="45"/>
      <c r="L38" s="45"/>
      <c r="M38" s="45"/>
      <c r="N38" s="45"/>
      <c r="O38" s="45"/>
      <c r="P38" s="45"/>
      <c r="Q38" s="45"/>
      <c r="R38" s="45"/>
      <c r="S38" s="45"/>
      <c r="T38" s="45"/>
      <c r="U38" s="45"/>
      <c r="V38" s="45"/>
    </row>
    <row r="39" spans="1:22" ht="17">
      <c r="A39" s="42" t="s">
        <v>106</v>
      </c>
      <c r="B39" s="53">
        <f>SUM(B18:E18)</f>
        <v>0</v>
      </c>
      <c r="C39" s="53">
        <f>SUM(F18:I18)</f>
        <v>0</v>
      </c>
      <c r="D39" s="53">
        <f>SUM(J18:M18)</f>
        <v>0</v>
      </c>
      <c r="E39" s="53">
        <f>SUM(N18:Q18)</f>
        <v>0</v>
      </c>
      <c r="F39" s="53">
        <f>SUM(R18:U18)</f>
        <v>0</v>
      </c>
      <c r="G39" s="45"/>
      <c r="H39" s="45"/>
      <c r="I39" s="45"/>
      <c r="J39" s="45"/>
      <c r="K39" s="45"/>
      <c r="L39" s="45"/>
      <c r="M39" s="45"/>
      <c r="N39" s="45"/>
      <c r="O39" s="45"/>
      <c r="P39" s="45"/>
      <c r="Q39" s="45"/>
      <c r="R39" s="45"/>
      <c r="S39" s="45"/>
      <c r="T39" s="45"/>
      <c r="U39" s="45"/>
      <c r="V39" s="45"/>
    </row>
    <row r="40" spans="1:22" ht="17">
      <c r="A40" s="42" t="s">
        <v>126</v>
      </c>
      <c r="B40" s="53">
        <f>SUM(B19:E19)</f>
        <v>0</v>
      </c>
      <c r="C40" s="53">
        <f>SUM(F19:I19)</f>
        <v>0</v>
      </c>
      <c r="D40" s="53">
        <f>SUM(J19:M19)</f>
        <v>0</v>
      </c>
      <c r="E40" s="53">
        <f>SUM(N19:Q19)</f>
        <v>0</v>
      </c>
      <c r="F40" s="53">
        <f>SUM(R19:U19)</f>
        <v>0</v>
      </c>
      <c r="G40" s="45"/>
      <c r="H40" s="45"/>
      <c r="I40" s="45"/>
      <c r="J40" s="45"/>
      <c r="K40" s="45"/>
      <c r="L40" s="45"/>
      <c r="M40" s="45"/>
      <c r="N40" s="45"/>
      <c r="O40" s="45"/>
      <c r="P40" s="45"/>
      <c r="Q40" s="45"/>
      <c r="R40" s="45"/>
      <c r="S40" s="45"/>
      <c r="T40" s="45"/>
      <c r="U40" s="45"/>
      <c r="V40" s="45"/>
    </row>
    <row r="41" spans="1:22">
      <c r="A41" s="45"/>
      <c r="B41" s="45"/>
      <c r="C41" s="45"/>
      <c r="D41" s="45"/>
      <c r="E41" s="45"/>
      <c r="F41" s="45"/>
      <c r="G41" s="45"/>
      <c r="H41" s="45"/>
      <c r="I41" s="45"/>
      <c r="J41" s="45"/>
      <c r="K41" s="45"/>
      <c r="L41" s="45"/>
      <c r="M41" s="45"/>
      <c r="N41" s="45"/>
      <c r="O41" s="45"/>
      <c r="P41" s="45"/>
      <c r="Q41" s="45"/>
      <c r="R41" s="45"/>
      <c r="S41" s="45"/>
      <c r="T41" s="45"/>
      <c r="U41" s="45"/>
      <c r="V41" s="45"/>
    </row>
    <row r="42" spans="1:22" ht="17">
      <c r="A42" s="42" t="s">
        <v>123</v>
      </c>
      <c r="B42" s="53">
        <f>SUM(B21:E21)</f>
        <v>-6977.0499999999993</v>
      </c>
      <c r="C42" s="53">
        <f>SUM(F21:I21)</f>
        <v>4083.9499999999985</v>
      </c>
      <c r="D42" s="53">
        <f>SUM(J21:M21)</f>
        <v>13569.949999999997</v>
      </c>
      <c r="E42" s="53">
        <f>SUM(N21:Q21)</f>
        <v>23055.949999999997</v>
      </c>
      <c r="F42" s="53">
        <f>SUM(R21:U21)</f>
        <v>32541.950000000004</v>
      </c>
      <c r="G42" s="45"/>
      <c r="H42" s="45"/>
      <c r="I42" s="45"/>
      <c r="J42" s="45"/>
      <c r="K42" s="45"/>
      <c r="L42" s="45"/>
      <c r="M42" s="45"/>
      <c r="N42" s="45"/>
      <c r="O42" s="45"/>
      <c r="P42" s="45"/>
      <c r="Q42" s="45"/>
      <c r="R42" s="45"/>
      <c r="S42" s="45"/>
      <c r="T42" s="45"/>
      <c r="U42" s="45"/>
      <c r="V42" s="45"/>
    </row>
    <row r="43" spans="1:22" ht="17">
      <c r="A43" s="42" t="s">
        <v>124</v>
      </c>
      <c r="B43" s="53">
        <f>E22</f>
        <v>-6977.0499999999993</v>
      </c>
      <c r="C43" s="53">
        <f>B43+C42</f>
        <v>-2893.1000000000008</v>
      </c>
      <c r="D43" s="53">
        <f>C43+D42</f>
        <v>10676.849999999997</v>
      </c>
      <c r="E43" s="53">
        <f>D43+E42</f>
        <v>33732.799999999996</v>
      </c>
      <c r="F43" s="53">
        <f>E43+F42</f>
        <v>66274.75</v>
      </c>
      <c r="G43" s="45"/>
      <c r="H43" s="45"/>
      <c r="I43" s="45"/>
      <c r="J43" s="45"/>
      <c r="K43" s="45"/>
      <c r="L43" s="45"/>
      <c r="M43" s="45"/>
      <c r="N43" s="45"/>
      <c r="O43" s="45"/>
      <c r="P43" s="45"/>
      <c r="Q43" s="45"/>
      <c r="R43" s="45"/>
      <c r="S43" s="45"/>
      <c r="T43" s="45"/>
      <c r="U43" s="45"/>
      <c r="V43" s="45"/>
    </row>
    <row r="44" spans="1:22">
      <c r="A44" s="45"/>
      <c r="B44" s="45"/>
      <c r="C44" s="45"/>
      <c r="D44" s="45"/>
      <c r="E44" s="45"/>
      <c r="F44" s="45"/>
      <c r="G44" s="45"/>
      <c r="H44" s="45"/>
      <c r="I44" s="45"/>
      <c r="J44" s="45"/>
      <c r="K44" s="45"/>
      <c r="L44" s="45"/>
      <c r="M44" s="45"/>
      <c r="N44" s="45"/>
      <c r="O44" s="45"/>
      <c r="P44" s="45"/>
      <c r="Q44" s="45"/>
      <c r="R44" s="45"/>
      <c r="S44" s="45"/>
      <c r="T44" s="45"/>
      <c r="U44" s="45"/>
      <c r="V44" s="45"/>
    </row>
    <row r="45" spans="1:22">
      <c r="H45" s="45"/>
      <c r="I45" s="45"/>
      <c r="J45" s="45"/>
      <c r="K45" s="45"/>
      <c r="L45" s="45"/>
      <c r="M45" s="45"/>
      <c r="N45" s="45"/>
      <c r="O45" s="45"/>
      <c r="P45" s="45"/>
      <c r="Q45" s="45"/>
      <c r="R45" s="45"/>
      <c r="S45" s="45"/>
      <c r="T45" s="45"/>
      <c r="U45" s="45"/>
      <c r="V45" s="45"/>
    </row>
    <row r="46" spans="1:22">
      <c r="H46" s="45"/>
      <c r="I46" s="45"/>
      <c r="J46" s="45"/>
      <c r="K46" s="45"/>
      <c r="L46" s="45"/>
      <c r="M46" s="45"/>
      <c r="N46" s="45"/>
      <c r="O46" s="45"/>
      <c r="P46" s="45"/>
      <c r="Q46" s="45"/>
      <c r="R46" s="45"/>
      <c r="S46" s="45"/>
      <c r="T46" s="45"/>
      <c r="U46" s="45"/>
      <c r="V46" s="45"/>
    </row>
    <row r="47" spans="1:22">
      <c r="A47" s="45"/>
      <c r="B47" s="45"/>
      <c r="C47" s="45"/>
      <c r="D47" s="45"/>
      <c r="E47" s="45"/>
      <c r="F47" s="45"/>
      <c r="G47" s="45"/>
      <c r="H47" s="45"/>
      <c r="I47" s="45"/>
      <c r="J47" s="45"/>
      <c r="K47" s="45"/>
      <c r="L47" s="45"/>
      <c r="M47" s="45"/>
      <c r="N47" s="45"/>
      <c r="O47" s="45"/>
      <c r="P47" s="45"/>
      <c r="Q47" s="45"/>
      <c r="R47" s="45"/>
      <c r="S47" s="45"/>
      <c r="T47" s="45"/>
      <c r="U47" s="45"/>
      <c r="V47" s="45"/>
    </row>
  </sheetData>
  <sheetProtection sheet="1" objects="1" scenarios="1" selectLockedCells="1"/>
  <mergeCells count="5">
    <mergeCell ref="B2:E2"/>
    <mergeCell ref="F2:I2"/>
    <mergeCell ref="J2:M2"/>
    <mergeCell ref="N2:Q2"/>
    <mergeCell ref="R2:U2"/>
  </mergeCells>
  <pageMargins left="0.7" right="0.7" top="0.75" bottom="0.75" header="0.3" footer="0.3"/>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showRowColHeaders="0" zoomScale="80" zoomScaleNormal="80" zoomScalePageLayoutView="80" workbookViewId="0">
      <selection activeCell="J4" sqref="J4"/>
    </sheetView>
  </sheetViews>
  <sheetFormatPr baseColWidth="10" defaultColWidth="8.83203125" defaultRowHeight="13" x14ac:dyDescent="0"/>
  <cols>
    <col min="1" max="1" width="28.6640625" style="30" customWidth="1"/>
    <col min="2" max="7" width="15.6640625" style="30" customWidth="1"/>
    <col min="8" max="16384" width="8.83203125" style="30"/>
  </cols>
  <sheetData>
    <row r="1" spans="1:6" ht="100" customHeight="1"/>
    <row r="2" spans="1:6" ht="26">
      <c r="A2" s="31" t="str">
        <f>"P&amp;L: "&amp;Para!C2</f>
        <v>P&amp;L: Company Name</v>
      </c>
    </row>
    <row r="3" spans="1:6" ht="26">
      <c r="A3" s="31"/>
    </row>
    <row r="4" spans="1:6" ht="17">
      <c r="A4" s="32"/>
      <c r="B4" s="33">
        <f>Inc!B43</f>
        <v>2018</v>
      </c>
      <c r="C4" s="33">
        <f>Inc!C43</f>
        <v>2019</v>
      </c>
      <c r="D4" s="33">
        <f>Inc!D43</f>
        <v>2020</v>
      </c>
      <c r="E4" s="33">
        <f>Inc!E43</f>
        <v>2021</v>
      </c>
      <c r="F4" s="33">
        <f>Inc!F43</f>
        <v>2022</v>
      </c>
    </row>
    <row r="5" spans="1:6" ht="17">
      <c r="A5" s="32" t="s">
        <v>28</v>
      </c>
      <c r="B5" s="34">
        <f>Inc!B44</f>
        <v>15750</v>
      </c>
      <c r="C5" s="34">
        <f>Inc!C44</f>
        <v>40950</v>
      </c>
      <c r="D5" s="34">
        <f>Inc!D44</f>
        <v>66150</v>
      </c>
      <c r="E5" s="34">
        <f>Inc!E44</f>
        <v>91350</v>
      </c>
      <c r="F5" s="34">
        <f>Inc!F44</f>
        <v>116550</v>
      </c>
    </row>
    <row r="6" spans="1:6">
      <c r="B6" s="35"/>
      <c r="C6" s="35"/>
      <c r="D6" s="35"/>
      <c r="E6" s="35"/>
      <c r="F6" s="35"/>
    </row>
    <row r="7" spans="1:6" ht="17">
      <c r="A7" s="32" t="s">
        <v>58</v>
      </c>
      <c r="B7" s="36">
        <f>SUM(Inc!B6:M6)</f>
        <v>4500</v>
      </c>
      <c r="C7" s="36">
        <f>SUM(Inc!N6:Y6)</f>
        <v>11700</v>
      </c>
      <c r="D7" s="36">
        <f>SUM(Inc!Z6:AK6)</f>
        <v>18900</v>
      </c>
      <c r="E7" s="36">
        <f>SUM(Inc!AL6:AW6)</f>
        <v>26100</v>
      </c>
      <c r="F7" s="36">
        <f>SUM(Inc!AX6:BI6)</f>
        <v>33300</v>
      </c>
    </row>
    <row r="8" spans="1:6" ht="17">
      <c r="A8" s="32" t="s">
        <v>59</v>
      </c>
      <c r="B8" s="36">
        <f>SUM(Inc!B7:M7)</f>
        <v>1800</v>
      </c>
      <c r="C8" s="36">
        <f>SUM(Inc!N7:Y7)</f>
        <v>4680</v>
      </c>
      <c r="D8" s="36">
        <f>SUM(Inc!Z7:AK7)</f>
        <v>7560</v>
      </c>
      <c r="E8" s="36">
        <f>SUM(Inc!AL7:AW7)</f>
        <v>10440</v>
      </c>
      <c r="F8" s="36">
        <f>SUM(Inc!AX7:BI7)</f>
        <v>13320</v>
      </c>
    </row>
    <row r="9" spans="1:6" ht="17">
      <c r="A9" s="32" t="s">
        <v>60</v>
      </c>
      <c r="B9" s="36">
        <f>SUM(Inc!B8:M8)</f>
        <v>2475</v>
      </c>
      <c r="C9" s="36">
        <f>SUM(Inc!N8:Y8)</f>
        <v>6435</v>
      </c>
      <c r="D9" s="36">
        <f>SUM(Inc!Z8:AK8)</f>
        <v>10395</v>
      </c>
      <c r="E9" s="36">
        <f>SUM(Inc!AL8:AW8)</f>
        <v>14355</v>
      </c>
      <c r="F9" s="36">
        <f>SUM(Inc!AX8:BI8)</f>
        <v>18315</v>
      </c>
    </row>
    <row r="10" spans="1:6" ht="17">
      <c r="A10" s="32" t="s">
        <v>117</v>
      </c>
      <c r="B10" s="36">
        <f>SUM(Inc!B9:M9)</f>
        <v>7499.9999999999991</v>
      </c>
      <c r="C10" s="36">
        <f>SUM(Inc!N9:Y9)</f>
        <v>10000</v>
      </c>
      <c r="D10" s="36">
        <f>SUM(Inc!Z9:AK9)</f>
        <v>10000</v>
      </c>
      <c r="E10" s="36">
        <f>SUM(Inc!AL9:AW9)</f>
        <v>10000</v>
      </c>
      <c r="F10" s="36">
        <f>SUM(Inc!AX9:BI9)</f>
        <v>10000</v>
      </c>
    </row>
    <row r="11" spans="1:6">
      <c r="B11" s="35"/>
      <c r="C11" s="35"/>
      <c r="D11" s="35"/>
      <c r="E11" s="35"/>
      <c r="F11" s="35"/>
    </row>
    <row r="12" spans="1:6" ht="17">
      <c r="A12" s="32" t="s">
        <v>29</v>
      </c>
      <c r="B12" s="36">
        <f>SUM(B7:B10)</f>
        <v>16275</v>
      </c>
      <c r="C12" s="36">
        <f>SUM(C7:C10)</f>
        <v>32815</v>
      </c>
      <c r="D12" s="36">
        <f>SUM(D7:D10)</f>
        <v>46855</v>
      </c>
      <c r="E12" s="36">
        <f>SUM(E7:E10)</f>
        <v>60895</v>
      </c>
      <c r="F12" s="36">
        <f>SUM(F7:F10)</f>
        <v>74935</v>
      </c>
    </row>
    <row r="13" spans="1:6" ht="17">
      <c r="A13" s="32" t="s">
        <v>65</v>
      </c>
      <c r="B13" s="36">
        <f>B5-B12</f>
        <v>-525</v>
      </c>
      <c r="C13" s="36">
        <f>C5-C12</f>
        <v>8135</v>
      </c>
      <c r="D13" s="36">
        <f>D5-D12</f>
        <v>19295</v>
      </c>
      <c r="E13" s="36">
        <f>E5-E12</f>
        <v>30455</v>
      </c>
      <c r="F13" s="36">
        <f>F5-F12</f>
        <v>41615</v>
      </c>
    </row>
    <row r="14" spans="1:6" ht="17">
      <c r="A14" s="32" t="s">
        <v>66</v>
      </c>
      <c r="B14" s="37">
        <f>B13/B5</f>
        <v>-3.3333333333333333E-2</v>
      </c>
      <c r="C14" s="37">
        <f>C13/C5</f>
        <v>0.19865689865689865</v>
      </c>
      <c r="D14" s="37">
        <f>D13/D5</f>
        <v>0.29168556311413452</v>
      </c>
      <c r="E14" s="37">
        <f>E13/E5</f>
        <v>0.33338806787082648</v>
      </c>
      <c r="F14" s="37">
        <f>F13/F5</f>
        <v>0.35705705705705704</v>
      </c>
    </row>
    <row r="15" spans="1:6">
      <c r="B15" s="38"/>
      <c r="C15" s="38"/>
      <c r="D15" s="38"/>
      <c r="E15" s="38"/>
      <c r="F15" s="38"/>
    </row>
    <row r="16" spans="1:6" ht="17">
      <c r="A16" s="32" t="s">
        <v>61</v>
      </c>
      <c r="B16" s="36">
        <f>SUM(Inc!B15:M15)</f>
        <v>0</v>
      </c>
      <c r="C16" s="36">
        <f>SUM(Inc!N15:Y15)</f>
        <v>0</v>
      </c>
      <c r="D16" s="36">
        <f>SUM(Inc!Z15:AK15)</f>
        <v>0</v>
      </c>
      <c r="E16" s="36">
        <f>SUM(Inc!AL15:AW15)</f>
        <v>0</v>
      </c>
      <c r="F16" s="36">
        <f>SUM(Inc!AX15:BI15)</f>
        <v>0</v>
      </c>
    </row>
    <row r="17" spans="1:6" ht="17">
      <c r="A17" s="32" t="s">
        <v>62</v>
      </c>
      <c r="B17" s="36">
        <f>SUM(Inc!B16:M16)</f>
        <v>0</v>
      </c>
      <c r="C17" s="36">
        <f>SUM(Inc!N16:Y16)</f>
        <v>0</v>
      </c>
      <c r="D17" s="36">
        <f>SUM(Inc!Z16:AK16)</f>
        <v>0</v>
      </c>
      <c r="E17" s="36">
        <f>SUM(Inc!AL16:AW16)</f>
        <v>0</v>
      </c>
      <c r="F17" s="36">
        <f>SUM(Inc!AX16:BI16)</f>
        <v>0</v>
      </c>
    </row>
    <row r="18" spans="1:6" ht="17">
      <c r="A18" s="32" t="s">
        <v>63</v>
      </c>
      <c r="B18" s="36">
        <f>SUM(Inc!B17:M17)</f>
        <v>0</v>
      </c>
      <c r="C18" s="36">
        <f>SUM(Inc!N17:Y17)</f>
        <v>0</v>
      </c>
      <c r="D18" s="36">
        <f>SUM(Inc!Z17:AK17)</f>
        <v>0</v>
      </c>
      <c r="E18" s="36">
        <f>SUM(Inc!AL17:AW17)</f>
        <v>0</v>
      </c>
      <c r="F18" s="36">
        <f>SUM(Inc!AX17:BI17)</f>
        <v>0</v>
      </c>
    </row>
    <row r="19" spans="1:6" ht="17">
      <c r="A19" s="32" t="s">
        <v>118</v>
      </c>
      <c r="B19" s="36">
        <f>SUM(Inc!B18:M18)</f>
        <v>10000</v>
      </c>
      <c r="C19" s="36">
        <f>SUM(Inc!N18:Y18)</f>
        <v>10000</v>
      </c>
      <c r="D19" s="36">
        <f>SUM(Inc!Z18:AK18)</f>
        <v>10000</v>
      </c>
      <c r="E19" s="36">
        <f>SUM(Inc!AL18:AW18)</f>
        <v>10000</v>
      </c>
      <c r="F19" s="36">
        <f>SUM(Inc!AX18:BI18)</f>
        <v>10000</v>
      </c>
    </row>
    <row r="20" spans="1:6" ht="17">
      <c r="A20" s="32" t="s">
        <v>64</v>
      </c>
      <c r="B20" s="36">
        <f>SUM(Inc!B19:M19)</f>
        <v>0</v>
      </c>
      <c r="C20" s="36">
        <f>SUM(Inc!N19:Y19)</f>
        <v>0</v>
      </c>
      <c r="D20" s="36">
        <f>SUM(Inc!Z19:AK19)</f>
        <v>0</v>
      </c>
      <c r="E20" s="36">
        <f>SUM(Inc!AL19:AW19)</f>
        <v>0</v>
      </c>
      <c r="F20" s="36">
        <f>SUM(Inc!AX19:BI19)</f>
        <v>0</v>
      </c>
    </row>
    <row r="21" spans="1:6">
      <c r="B21" s="35"/>
      <c r="C21" s="35"/>
      <c r="D21" s="35"/>
      <c r="E21" s="35"/>
      <c r="F21" s="35"/>
    </row>
    <row r="22" spans="1:6" ht="17">
      <c r="A22" s="32" t="s">
        <v>32</v>
      </c>
      <c r="B22" s="36">
        <f>SUM(B16:B20)</f>
        <v>10000</v>
      </c>
      <c r="C22" s="36">
        <f>SUM(C16:C20)</f>
        <v>10000</v>
      </c>
      <c r="D22" s="36">
        <f>SUM(D16:D20)</f>
        <v>10000</v>
      </c>
      <c r="E22" s="36">
        <f>SUM(E16:E20)</f>
        <v>10000</v>
      </c>
      <c r="F22" s="36">
        <f>SUM(F16:F20)</f>
        <v>10000</v>
      </c>
    </row>
    <row r="23" spans="1:6">
      <c r="B23" s="35"/>
      <c r="C23" s="35"/>
      <c r="D23" s="35"/>
      <c r="E23" s="35"/>
      <c r="F23" s="35"/>
    </row>
    <row r="24" spans="1:6" ht="17">
      <c r="A24" s="32" t="s">
        <v>67</v>
      </c>
      <c r="B24" s="36">
        <f>B13-B22</f>
        <v>-10525</v>
      </c>
      <c r="C24" s="36">
        <f>C13-C22</f>
        <v>-1865</v>
      </c>
      <c r="D24" s="36">
        <f>D13-D22</f>
        <v>9295</v>
      </c>
      <c r="E24" s="36">
        <f>E13-E22</f>
        <v>20455</v>
      </c>
      <c r="F24" s="36">
        <f>F13-F22</f>
        <v>31615</v>
      </c>
    </row>
    <row r="25" spans="1:6" ht="17">
      <c r="A25" s="32" t="s">
        <v>68</v>
      </c>
      <c r="B25" s="37">
        <f>B24/B5</f>
        <v>-0.66825396825396821</v>
      </c>
      <c r="C25" s="37">
        <f>C24/C5</f>
        <v>-4.5543345543345541E-2</v>
      </c>
      <c r="D25" s="37">
        <f>D24/D5</f>
        <v>0.14051398337112622</v>
      </c>
      <c r="E25" s="37">
        <f>E24/E5</f>
        <v>0.22391899288451012</v>
      </c>
      <c r="F25" s="37">
        <f>F24/F5</f>
        <v>0.27125697125697124</v>
      </c>
    </row>
    <row r="26" spans="1:6">
      <c r="B26" s="38"/>
      <c r="C26" s="38"/>
      <c r="D26" s="38"/>
      <c r="E26" s="38"/>
      <c r="F26" s="38"/>
    </row>
    <row r="27" spans="1:6" ht="17">
      <c r="A27" s="32" t="s">
        <v>70</v>
      </c>
      <c r="B27" s="36">
        <f>SUM(Inc!B26:M26)</f>
        <v>-1578.75</v>
      </c>
      <c r="C27" s="36">
        <f>SUM(Inc!N26:Y26)</f>
        <v>-279.75000000000011</v>
      </c>
      <c r="D27" s="36">
        <f>SUM(Inc!Z26:AK26)</f>
        <v>1394.25</v>
      </c>
      <c r="E27" s="36">
        <f>SUM(Inc!AL26:AW26)</f>
        <v>3068.25</v>
      </c>
      <c r="F27" s="36">
        <f>SUM(Inc!AX26:BI26)</f>
        <v>4742.25</v>
      </c>
    </row>
    <row r="28" spans="1:6">
      <c r="B28" s="35"/>
      <c r="C28" s="35"/>
      <c r="D28" s="35"/>
      <c r="E28" s="35"/>
      <c r="F28" s="35"/>
    </row>
    <row r="29" spans="1:6" ht="17">
      <c r="A29" s="32" t="s">
        <v>71</v>
      </c>
      <c r="B29" s="36">
        <f>B24-B27</f>
        <v>-8946.25</v>
      </c>
      <c r="C29" s="36">
        <f>C24-C27</f>
        <v>-1585.25</v>
      </c>
      <c r="D29" s="36">
        <f>D24-D27</f>
        <v>7900.75</v>
      </c>
      <c r="E29" s="36">
        <f>E24-E27</f>
        <v>17386.75</v>
      </c>
      <c r="F29" s="36">
        <f>F24-F27</f>
        <v>26872.75</v>
      </c>
    </row>
    <row r="30" spans="1:6" ht="17">
      <c r="A30" s="32" t="s">
        <v>72</v>
      </c>
      <c r="B30" s="37">
        <f>B29/B5</f>
        <v>-0.56801587301587297</v>
      </c>
      <c r="C30" s="37">
        <f>C29/C5</f>
        <v>-3.8711843711843712E-2</v>
      </c>
      <c r="D30" s="37">
        <f>D29/D5</f>
        <v>0.1194368858654573</v>
      </c>
      <c r="E30" s="37">
        <f>E29/E5</f>
        <v>0.19033114395183362</v>
      </c>
      <c r="F30" s="37">
        <f>F29/F5</f>
        <v>0.23056842556842558</v>
      </c>
    </row>
    <row r="32" spans="1:6" ht="26">
      <c r="A32" s="31" t="str">
        <f>"Balance Sheet: "&amp;Para!C2</f>
        <v>Balance Sheet: Company Name</v>
      </c>
    </row>
    <row r="33" spans="1:7" ht="26">
      <c r="A33" s="31"/>
    </row>
    <row r="34" spans="1:7" ht="17">
      <c r="B34" s="39" t="str">
        <f>Bal!B37</f>
        <v>Prior</v>
      </c>
      <c r="C34" s="39">
        <f>Bal!C37</f>
        <v>2018</v>
      </c>
      <c r="D34" s="39">
        <f>Bal!D37</f>
        <v>2019</v>
      </c>
      <c r="E34" s="39">
        <f>Bal!E37</f>
        <v>2020</v>
      </c>
      <c r="F34" s="39">
        <f>Bal!F37</f>
        <v>2021</v>
      </c>
      <c r="G34" s="39">
        <f>Bal!G37</f>
        <v>2022</v>
      </c>
    </row>
    <row r="35" spans="1:7" ht="17">
      <c r="A35" s="32" t="str">
        <f>Bal!A38</f>
        <v>Cash</v>
      </c>
      <c r="B35" s="36">
        <f>Bal!B38</f>
        <v>0</v>
      </c>
      <c r="C35" s="36">
        <f>Bal!C38</f>
        <v>-6977.0499999999993</v>
      </c>
      <c r="D35" s="36">
        <f>Bal!D38</f>
        <v>-2893.1000000000017</v>
      </c>
      <c r="E35" s="36">
        <f>Bal!E38</f>
        <v>10676.849999999999</v>
      </c>
      <c r="F35" s="36">
        <f>Bal!F38</f>
        <v>33732.799999999996</v>
      </c>
      <c r="G35" s="36">
        <f>Bal!G38</f>
        <v>66274.75</v>
      </c>
    </row>
    <row r="36" spans="1:7" ht="17">
      <c r="A36" s="32" t="str">
        <f>Bal!A39</f>
        <v>Accounts Receivable</v>
      </c>
      <c r="B36" s="36">
        <f>Bal!B39</f>
        <v>0</v>
      </c>
      <c r="C36" s="36">
        <f>Bal!C39</f>
        <v>3402</v>
      </c>
      <c r="D36" s="36">
        <f>Bal!D39</f>
        <v>6804</v>
      </c>
      <c r="E36" s="36">
        <f>Bal!E39</f>
        <v>10206</v>
      </c>
      <c r="F36" s="36">
        <f>Bal!F39</f>
        <v>13608</v>
      </c>
      <c r="G36" s="36">
        <f>Bal!G39</f>
        <v>17010</v>
      </c>
    </row>
    <row r="37" spans="1:7" ht="17">
      <c r="A37" s="32" t="str">
        <f>Bal!A40</f>
        <v>Inventories</v>
      </c>
      <c r="B37" s="36">
        <f>Bal!B40</f>
        <v>0</v>
      </c>
      <c r="C37" s="36">
        <f>Bal!C40</f>
        <v>2884.7999999999997</v>
      </c>
      <c r="D37" s="36">
        <f>Bal!D40</f>
        <v>4569.5999999999995</v>
      </c>
      <c r="E37" s="36">
        <f>Bal!E40</f>
        <v>6254.4</v>
      </c>
      <c r="F37" s="36">
        <f>Bal!F40</f>
        <v>7939.2</v>
      </c>
      <c r="G37" s="36">
        <f>Bal!G40</f>
        <v>9624</v>
      </c>
    </row>
    <row r="38" spans="1:7" ht="17">
      <c r="A38" s="32" t="str">
        <f>Bal!A41</f>
        <v>Other Current</v>
      </c>
      <c r="B38" s="36">
        <f>Bal!B41</f>
        <v>0</v>
      </c>
      <c r="C38" s="36">
        <f>Bal!C41</f>
        <v>0</v>
      </c>
      <c r="D38" s="36">
        <f>Bal!D41</f>
        <v>0</v>
      </c>
      <c r="E38" s="36">
        <f>Bal!E41</f>
        <v>0</v>
      </c>
      <c r="F38" s="36">
        <f>Bal!F41</f>
        <v>0</v>
      </c>
      <c r="G38" s="36">
        <f>Bal!G41</f>
        <v>0</v>
      </c>
    </row>
    <row r="40" spans="1:7" ht="17">
      <c r="A40" s="32" t="str">
        <f>Bal!A43</f>
        <v>Total Current</v>
      </c>
      <c r="B40" s="40">
        <f>Bal!B43</f>
        <v>0</v>
      </c>
      <c r="C40" s="40">
        <f>Bal!C43</f>
        <v>-690.24999999999955</v>
      </c>
      <c r="D40" s="40">
        <f>Bal!D43</f>
        <v>8480.4999999999982</v>
      </c>
      <c r="E40" s="40">
        <f>Bal!E43</f>
        <v>27137.25</v>
      </c>
      <c r="F40" s="40">
        <f>Bal!F43</f>
        <v>55279.999999999993</v>
      </c>
      <c r="G40" s="40">
        <f>Bal!G43</f>
        <v>92908.75</v>
      </c>
    </row>
    <row r="42" spans="1:7" ht="17">
      <c r="A42" s="32" t="str">
        <f>Bal!A45</f>
        <v>Fixed Assets</v>
      </c>
      <c r="B42" s="36">
        <f>Bal!B45</f>
        <v>0</v>
      </c>
      <c r="C42" s="36">
        <f>Bal!C45</f>
        <v>100000</v>
      </c>
      <c r="D42" s="36">
        <f>Bal!D45</f>
        <v>100000</v>
      </c>
      <c r="E42" s="36">
        <f>Bal!E45</f>
        <v>100000</v>
      </c>
      <c r="F42" s="36">
        <f>Bal!F45</f>
        <v>100000</v>
      </c>
      <c r="G42" s="36">
        <f>Bal!G45</f>
        <v>100000</v>
      </c>
    </row>
    <row r="43" spans="1:7" ht="17">
      <c r="A43" s="32" t="str">
        <f>Bal!A46</f>
        <v>Less: Accum Deprec</v>
      </c>
      <c r="B43" s="36">
        <f>Bal!B46</f>
        <v>0</v>
      </c>
      <c r="C43" s="36">
        <f>Bal!C46</f>
        <v>7500</v>
      </c>
      <c r="D43" s="36">
        <f>Bal!D46</f>
        <v>17500</v>
      </c>
      <c r="E43" s="36">
        <f>Bal!E46</f>
        <v>27500</v>
      </c>
      <c r="F43" s="36">
        <f>Bal!F46</f>
        <v>37500</v>
      </c>
      <c r="G43" s="36">
        <f>Bal!G46</f>
        <v>47500</v>
      </c>
    </row>
    <row r="44" spans="1:7" ht="17">
      <c r="A44" s="32" t="str">
        <f>Bal!A47</f>
        <v>Net Fixed Assets</v>
      </c>
      <c r="B44" s="36">
        <f>Bal!B47</f>
        <v>0</v>
      </c>
      <c r="C44" s="36">
        <f>Bal!C47</f>
        <v>92500</v>
      </c>
      <c r="D44" s="36">
        <f>Bal!D47</f>
        <v>82500</v>
      </c>
      <c r="E44" s="36">
        <f>Bal!E47</f>
        <v>72500</v>
      </c>
      <c r="F44" s="36">
        <f>Bal!F47</f>
        <v>62500</v>
      </c>
      <c r="G44" s="36">
        <f>Bal!G47</f>
        <v>52500</v>
      </c>
    </row>
    <row r="46" spans="1:7" ht="17">
      <c r="A46" s="32" t="str">
        <f>Bal!A49</f>
        <v>Total Assets</v>
      </c>
      <c r="B46" s="40">
        <f>Bal!B49</f>
        <v>0</v>
      </c>
      <c r="C46" s="40">
        <f>Bal!C49</f>
        <v>91809.75</v>
      </c>
      <c r="D46" s="40">
        <f>Bal!D49</f>
        <v>90980.5</v>
      </c>
      <c r="E46" s="40">
        <f>Bal!E49</f>
        <v>99637.25</v>
      </c>
      <c r="F46" s="40">
        <f>Bal!F49</f>
        <v>117780</v>
      </c>
      <c r="G46" s="40">
        <f>Bal!G49</f>
        <v>145408.75</v>
      </c>
    </row>
    <row r="48" spans="1:7" ht="17">
      <c r="A48" s="32" t="str">
        <f>Bal!A51</f>
        <v>Accounts Payable</v>
      </c>
      <c r="B48" s="36">
        <f>Bal!B51</f>
        <v>0</v>
      </c>
      <c r="C48" s="36">
        <f>Bal!C51</f>
        <v>756</v>
      </c>
      <c r="D48" s="36">
        <f>Bal!D51</f>
        <v>1512</v>
      </c>
      <c r="E48" s="36">
        <f>Bal!E51</f>
        <v>2268</v>
      </c>
      <c r="F48" s="36">
        <f>Bal!F51</f>
        <v>3024</v>
      </c>
      <c r="G48" s="36">
        <f>Bal!G51</f>
        <v>3780</v>
      </c>
    </row>
    <row r="49" spans="1:7" ht="17">
      <c r="A49" s="32" t="str">
        <f>Bal!A52</f>
        <v>Other Current Lia</v>
      </c>
      <c r="B49" s="36">
        <f>Bal!B52</f>
        <v>0</v>
      </c>
      <c r="C49" s="36">
        <f>Bal!C52</f>
        <v>0</v>
      </c>
      <c r="D49" s="36">
        <f>Bal!D52</f>
        <v>0</v>
      </c>
      <c r="E49" s="36">
        <f>Bal!E52</f>
        <v>0</v>
      </c>
      <c r="F49" s="36">
        <f>Bal!F52</f>
        <v>0</v>
      </c>
      <c r="G49" s="36">
        <f>Bal!G52</f>
        <v>0</v>
      </c>
    </row>
    <row r="51" spans="1:7" ht="17">
      <c r="A51" s="32" t="str">
        <f>Bal!A54</f>
        <v>Total Current Lia</v>
      </c>
      <c r="B51" s="40">
        <f>Bal!B54</f>
        <v>0</v>
      </c>
      <c r="C51" s="40">
        <f>Bal!C54</f>
        <v>756</v>
      </c>
      <c r="D51" s="40">
        <f>Bal!D54</f>
        <v>1512</v>
      </c>
      <c r="E51" s="40">
        <f>Bal!E54</f>
        <v>2268</v>
      </c>
      <c r="F51" s="40">
        <f>Bal!F54</f>
        <v>3024</v>
      </c>
      <c r="G51" s="40">
        <f>Bal!G54</f>
        <v>3780</v>
      </c>
    </row>
    <row r="53" spans="1:7" ht="17">
      <c r="A53" s="32" t="str">
        <f>Bal!A56</f>
        <v>Notes Payable</v>
      </c>
      <c r="B53" s="36">
        <f>Bal!B56</f>
        <v>0</v>
      </c>
      <c r="C53" s="36">
        <f>Bal!C56</f>
        <v>100000</v>
      </c>
      <c r="D53" s="36">
        <f>Bal!D56</f>
        <v>100000</v>
      </c>
      <c r="E53" s="36">
        <f>Bal!E56</f>
        <v>100000</v>
      </c>
      <c r="F53" s="36">
        <f>Bal!F56</f>
        <v>100000</v>
      </c>
      <c r="G53" s="36">
        <f>Bal!G56</f>
        <v>100000</v>
      </c>
    </row>
    <row r="54" spans="1:7" ht="17">
      <c r="A54" s="32" t="str">
        <f>Bal!A57</f>
        <v>Other Long Term</v>
      </c>
      <c r="B54" s="36">
        <f>Bal!B57</f>
        <v>0</v>
      </c>
      <c r="C54" s="36">
        <f>Bal!C57</f>
        <v>0</v>
      </c>
      <c r="D54" s="36">
        <f>Bal!D57</f>
        <v>0</v>
      </c>
      <c r="E54" s="36">
        <f>Bal!E57</f>
        <v>0</v>
      </c>
      <c r="F54" s="36">
        <f>Bal!F57</f>
        <v>0</v>
      </c>
      <c r="G54" s="36">
        <f>Bal!G57</f>
        <v>0</v>
      </c>
    </row>
    <row r="56" spans="1:7" ht="17">
      <c r="A56" s="32" t="str">
        <f>Bal!A59</f>
        <v>Total Liabilities</v>
      </c>
      <c r="B56" s="40">
        <f>Bal!B59</f>
        <v>0</v>
      </c>
      <c r="C56" s="40">
        <f>Bal!C59</f>
        <v>100756</v>
      </c>
      <c r="D56" s="40">
        <f>Bal!D59</f>
        <v>101512</v>
      </c>
      <c r="E56" s="40">
        <f>Bal!E59</f>
        <v>102268</v>
      </c>
      <c r="F56" s="40">
        <f>Bal!F59</f>
        <v>103024</v>
      </c>
      <c r="G56" s="40">
        <f>Bal!G59</f>
        <v>103780</v>
      </c>
    </row>
    <row r="58" spans="1:7" ht="17">
      <c r="A58" s="32" t="str">
        <f>Bal!A61</f>
        <v>Paid In Capital</v>
      </c>
      <c r="B58" s="36">
        <f>Bal!B61</f>
        <v>0</v>
      </c>
      <c r="C58" s="36">
        <f>Bal!C61</f>
        <v>0</v>
      </c>
      <c r="D58" s="36">
        <f>Bal!D61</f>
        <v>0</v>
      </c>
      <c r="E58" s="36">
        <f>Bal!E61</f>
        <v>0</v>
      </c>
      <c r="F58" s="36">
        <f>Bal!F61</f>
        <v>0</v>
      </c>
      <c r="G58" s="36">
        <f>Bal!G61</f>
        <v>0</v>
      </c>
    </row>
    <row r="59" spans="1:7" ht="17">
      <c r="A59" s="32" t="str">
        <f>Bal!A62</f>
        <v>Retained Earnings</v>
      </c>
      <c r="B59" s="36">
        <f>Bal!B62</f>
        <v>0</v>
      </c>
      <c r="C59" s="36">
        <f>Bal!C62</f>
        <v>-8946.2500000000018</v>
      </c>
      <c r="D59" s="36">
        <f>Bal!D62</f>
        <v>-10531.500000000002</v>
      </c>
      <c r="E59" s="36">
        <f>Bal!E62</f>
        <v>-2630.7500000000014</v>
      </c>
      <c r="F59" s="36">
        <f>Bal!F62</f>
        <v>14756</v>
      </c>
      <c r="G59" s="36">
        <f>Bal!G62</f>
        <v>41628.75</v>
      </c>
    </row>
    <row r="61" spans="1:7" ht="17">
      <c r="A61" s="32" t="str">
        <f>Bal!A64</f>
        <v>Total Equity</v>
      </c>
      <c r="B61" s="40">
        <f>Bal!B64</f>
        <v>0</v>
      </c>
      <c r="C61" s="40">
        <f>Bal!C64</f>
        <v>-8946.2500000000018</v>
      </c>
      <c r="D61" s="40">
        <f>Bal!D64</f>
        <v>-10531.500000000002</v>
      </c>
      <c r="E61" s="40">
        <f>Bal!E64</f>
        <v>-2630.7500000000014</v>
      </c>
      <c r="F61" s="40">
        <f>Bal!F64</f>
        <v>14756</v>
      </c>
      <c r="G61" s="40">
        <f>Bal!G64</f>
        <v>41628.75</v>
      </c>
    </row>
    <row r="63" spans="1:7" ht="17">
      <c r="A63" s="32" t="str">
        <f>Bal!A66</f>
        <v>Total Lia &amp; Equity</v>
      </c>
      <c r="B63" s="40">
        <f>Bal!B66</f>
        <v>0</v>
      </c>
      <c r="C63" s="40">
        <f>Bal!C66</f>
        <v>91809.75</v>
      </c>
      <c r="D63" s="40">
        <f>Bal!D66</f>
        <v>90980.5</v>
      </c>
      <c r="E63" s="40">
        <f>Bal!E66</f>
        <v>99637.25</v>
      </c>
      <c r="F63" s="40">
        <f>Bal!F66</f>
        <v>117780</v>
      </c>
      <c r="G63" s="40">
        <f>Bal!G66</f>
        <v>145408.75</v>
      </c>
    </row>
    <row r="65" spans="1:6" ht="26">
      <c r="A65" s="31" t="str">
        <f>"Cash Flow: "&amp;Para!C2</f>
        <v>Cash Flow: Company Name</v>
      </c>
    </row>
    <row r="66" spans="1:6" ht="26">
      <c r="A66" s="31"/>
    </row>
    <row r="67" spans="1:6" ht="17">
      <c r="A67" s="38"/>
      <c r="B67" s="39">
        <f>CF!B24</f>
        <v>2018</v>
      </c>
      <c r="C67" s="39">
        <f>CF!C24</f>
        <v>2019</v>
      </c>
      <c r="D67" s="39">
        <f>CF!D24</f>
        <v>2020</v>
      </c>
      <c r="E67" s="39">
        <f>CF!E24</f>
        <v>2021</v>
      </c>
      <c r="F67" s="39">
        <f>CF!F24</f>
        <v>2022</v>
      </c>
    </row>
    <row r="68" spans="1:6" ht="17">
      <c r="A68" s="41" t="str">
        <f>CF!A25</f>
        <v>Net Profit After Tax</v>
      </c>
      <c r="B68" s="36">
        <f>CF!B25</f>
        <v>-8946.2500000000018</v>
      </c>
      <c r="C68" s="36">
        <f>CF!C25</f>
        <v>-1585.2500000000018</v>
      </c>
      <c r="D68" s="36">
        <f>CF!D25</f>
        <v>7900.75</v>
      </c>
      <c r="E68" s="36">
        <f>CF!E25</f>
        <v>17386.75</v>
      </c>
      <c r="F68" s="36">
        <f>CF!F25</f>
        <v>26872.75</v>
      </c>
    </row>
    <row r="69" spans="1:6" ht="17">
      <c r="A69" s="41" t="str">
        <f>CF!A26</f>
        <v>Depreciation</v>
      </c>
      <c r="B69" s="36">
        <f>CF!B26</f>
        <v>7500</v>
      </c>
      <c r="C69" s="36">
        <f>CF!C26</f>
        <v>10000</v>
      </c>
      <c r="D69" s="36">
        <f>CF!D26</f>
        <v>10000</v>
      </c>
      <c r="E69" s="36">
        <f>CF!E26</f>
        <v>10000</v>
      </c>
      <c r="F69" s="36">
        <f>CF!F26</f>
        <v>10000</v>
      </c>
    </row>
    <row r="71" spans="1:6" ht="17">
      <c r="A71" s="41" t="str">
        <f>CF!A28</f>
        <v>Accounts Receivable</v>
      </c>
      <c r="B71" s="36">
        <f>CF!B28</f>
        <v>-3402</v>
      </c>
      <c r="C71" s="36">
        <f>CF!C28</f>
        <v>-3402</v>
      </c>
      <c r="D71" s="36">
        <f>CF!D28</f>
        <v>-3402</v>
      </c>
      <c r="E71" s="36">
        <f>CF!E28</f>
        <v>-3402</v>
      </c>
      <c r="F71" s="36">
        <f>CF!F28</f>
        <v>-3402</v>
      </c>
    </row>
    <row r="72" spans="1:6" ht="17">
      <c r="A72" s="41" t="str">
        <f>CF!A29</f>
        <v>Inventory</v>
      </c>
      <c r="B72" s="36">
        <f>CF!B29</f>
        <v>-2884.7999999999997</v>
      </c>
      <c r="C72" s="36">
        <f>CF!C29</f>
        <v>-1684.7999999999997</v>
      </c>
      <c r="D72" s="36">
        <f>CF!D29</f>
        <v>-1684.8000000000002</v>
      </c>
      <c r="E72" s="36">
        <f>CF!E29</f>
        <v>-1684.8000000000002</v>
      </c>
      <c r="F72" s="36">
        <f>CF!F29</f>
        <v>-1684.8000000000002</v>
      </c>
    </row>
    <row r="73" spans="1:6" ht="17">
      <c r="A73" s="41" t="str">
        <f>CF!A30</f>
        <v>Other Current</v>
      </c>
      <c r="B73" s="36">
        <f>CF!B30</f>
        <v>0</v>
      </c>
      <c r="C73" s="36">
        <f>CF!C30</f>
        <v>0</v>
      </c>
      <c r="D73" s="36">
        <f>CF!D30</f>
        <v>0</v>
      </c>
      <c r="E73" s="36">
        <f>CF!E30</f>
        <v>0</v>
      </c>
      <c r="F73" s="36">
        <f>CF!F30</f>
        <v>0</v>
      </c>
    </row>
    <row r="74" spans="1:6" ht="17">
      <c r="A74" s="41" t="str">
        <f>CF!A31</f>
        <v>Fixed Assets</v>
      </c>
      <c r="B74" s="36">
        <f>CF!B31</f>
        <v>-100000</v>
      </c>
      <c r="C74" s="36">
        <f>CF!C31</f>
        <v>0</v>
      </c>
      <c r="D74" s="36">
        <f>CF!D31</f>
        <v>0</v>
      </c>
      <c r="E74" s="36">
        <f>CF!E31</f>
        <v>0</v>
      </c>
      <c r="F74" s="36">
        <f>CF!F31</f>
        <v>0</v>
      </c>
    </row>
    <row r="76" spans="1:6" ht="17">
      <c r="A76" s="41" t="str">
        <f>CF!A33</f>
        <v>Accounts Payable</v>
      </c>
      <c r="B76" s="36">
        <f>CF!B33</f>
        <v>756</v>
      </c>
      <c r="C76" s="36">
        <f>CF!C33</f>
        <v>756</v>
      </c>
      <c r="D76" s="36">
        <f>CF!D33</f>
        <v>756</v>
      </c>
      <c r="E76" s="36">
        <f>CF!E33</f>
        <v>756</v>
      </c>
      <c r="F76" s="36">
        <f>CF!F33</f>
        <v>756</v>
      </c>
    </row>
    <row r="77" spans="1:6" ht="17">
      <c r="A77" s="41" t="str">
        <f>CF!A34</f>
        <v>Other Current Lia</v>
      </c>
      <c r="B77" s="36">
        <f>CF!B34</f>
        <v>0</v>
      </c>
      <c r="C77" s="36">
        <f>CF!C34</f>
        <v>0</v>
      </c>
      <c r="D77" s="36">
        <f>CF!D34</f>
        <v>0</v>
      </c>
      <c r="E77" s="36">
        <f>CF!E34</f>
        <v>0</v>
      </c>
      <c r="F77" s="36">
        <f>CF!F34</f>
        <v>0</v>
      </c>
    </row>
    <row r="79" spans="1:6" ht="17">
      <c r="A79" s="41" t="str">
        <f>CF!A36</f>
        <v>Notes Payable</v>
      </c>
      <c r="B79" s="36">
        <f>CF!B36</f>
        <v>100000</v>
      </c>
      <c r="C79" s="36">
        <f>CF!C36</f>
        <v>0</v>
      </c>
      <c r="D79" s="36">
        <f>CF!D36</f>
        <v>0</v>
      </c>
      <c r="E79" s="36">
        <f>CF!E36</f>
        <v>0</v>
      </c>
      <c r="F79" s="36">
        <f>CF!F36</f>
        <v>0</v>
      </c>
    </row>
    <row r="80" spans="1:6" ht="17">
      <c r="A80" s="41" t="str">
        <f>CF!A37</f>
        <v>Other Current Long Term</v>
      </c>
      <c r="B80" s="36">
        <f>CF!B37</f>
        <v>0</v>
      </c>
      <c r="C80" s="36">
        <f>CF!C37</f>
        <v>0</v>
      </c>
      <c r="D80" s="36">
        <f>CF!D37</f>
        <v>0</v>
      </c>
      <c r="E80" s="36">
        <f>CF!E37</f>
        <v>0</v>
      </c>
      <c r="F80" s="36">
        <f>CF!F37</f>
        <v>0</v>
      </c>
    </row>
    <row r="82" spans="1:6" ht="17">
      <c r="A82" s="41" t="str">
        <f>CF!A39</f>
        <v>Paid In Capital</v>
      </c>
      <c r="B82" s="36">
        <f>CF!B39</f>
        <v>0</v>
      </c>
      <c r="C82" s="36">
        <f>CF!C39</f>
        <v>0</v>
      </c>
      <c r="D82" s="36">
        <f>CF!D39</f>
        <v>0</v>
      </c>
      <c r="E82" s="36">
        <f>CF!E39</f>
        <v>0</v>
      </c>
      <c r="F82" s="36">
        <f>CF!F39</f>
        <v>0</v>
      </c>
    </row>
    <row r="83" spans="1:6" ht="17">
      <c r="A83" s="41" t="str">
        <f>CF!A40</f>
        <v>Dividends</v>
      </c>
      <c r="B83" s="36">
        <f>CF!B40</f>
        <v>0</v>
      </c>
      <c r="C83" s="36">
        <f>CF!C40</f>
        <v>0</v>
      </c>
      <c r="D83" s="36">
        <f>CF!D40</f>
        <v>0</v>
      </c>
      <c r="E83" s="36">
        <f>CF!E40</f>
        <v>0</v>
      </c>
      <c r="F83" s="36">
        <f>CF!F40</f>
        <v>0</v>
      </c>
    </row>
    <row r="85" spans="1:6" ht="17">
      <c r="A85" s="41" t="str">
        <f>CF!A42</f>
        <v>Net Cash</v>
      </c>
      <c r="B85" s="40">
        <f>CF!B42</f>
        <v>-6977.0499999999993</v>
      </c>
      <c r="C85" s="40">
        <f>CF!C42</f>
        <v>4083.9499999999985</v>
      </c>
      <c r="D85" s="40">
        <f>CF!D42</f>
        <v>13569.949999999997</v>
      </c>
      <c r="E85" s="40">
        <f>CF!E42</f>
        <v>23055.949999999997</v>
      </c>
      <c r="F85" s="40">
        <f>CF!F42</f>
        <v>32541.950000000004</v>
      </c>
    </row>
    <row r="86" spans="1:6" ht="17">
      <c r="A86" s="41" t="str">
        <f>CF!A43</f>
        <v>Cumulative Cash</v>
      </c>
      <c r="B86" s="40">
        <f>CF!B43</f>
        <v>-6977.0499999999993</v>
      </c>
      <c r="C86" s="40">
        <f>CF!C43</f>
        <v>-2893.1000000000008</v>
      </c>
      <c r="D86" s="40">
        <f>CF!D43</f>
        <v>10676.849999999997</v>
      </c>
      <c r="E86" s="40">
        <f>CF!E43</f>
        <v>33732.799999999996</v>
      </c>
      <c r="F86" s="40">
        <f>CF!F43</f>
        <v>66274.75</v>
      </c>
    </row>
  </sheetData>
  <sheetProtection sheet="1" objects="1" scenarios="1" selectLockedCells="1" selectUnlockedCells="1"/>
  <phoneticPr fontId="26" type="noConversion"/>
  <pageMargins left="0.7" right="0.7" top="0.75" bottom="0.75" header="0.3" footer="0.3"/>
  <pageSetup scale="69" orientation="portrait" horizontalDpi="4294967292" verticalDpi="4294967292"/>
  <rowBreaks count="2" manualBreakCount="2">
    <brk id="31" max="6" man="1"/>
    <brk id="64" max="6" man="1"/>
  </rowBreaks>
  <drawing r:id="rId1"/>
  <extLst>
    <ext xmlns:mx="http://schemas.microsoft.com/office/mac/excel/2008/main" uri="{64002731-A6B0-56B0-2670-7721B7C09600}">
      <mx:PLV Mode="0" OnePage="0" WScale="74"/>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A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1" customWidth="1"/>
    <col min="2" max="7" width="6" style="1" customWidth="1"/>
    <col min="8" max="8" width="3.6640625" style="1" customWidth="1"/>
    <col min="9" max="16384" width="8.83203125" style="1"/>
  </cols>
  <sheetData>
    <row r="1" ht="100"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59999389629810485"/>
  </sheetPr>
  <dimension ref="A1:A46"/>
  <sheetViews>
    <sheetView showGridLines="0" showRowColHeaders="0" zoomScale="80" zoomScaleNormal="80" zoomScalePageLayoutView="80" workbookViewId="0">
      <selection activeCell="Z17" sqref="Z17"/>
    </sheetView>
  </sheetViews>
  <sheetFormatPr baseColWidth="10" defaultColWidth="8.83203125" defaultRowHeight="12" x14ac:dyDescent="0"/>
  <cols>
    <col min="1" max="1" width="5.83203125" style="1" customWidth="1"/>
    <col min="2" max="7" width="6" style="1" customWidth="1"/>
    <col min="8" max="8" width="3.6640625" style="1" customWidth="1"/>
    <col min="9" max="16384" width="8.83203125" style="1"/>
  </cols>
  <sheetData>
    <row r="1" ht="100" customHeight="1"/>
    <row r="3"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9" ht="12.75" customHeight="1"/>
    <row r="20" ht="12.75" customHeight="1"/>
    <row r="21" ht="12.75" customHeight="1"/>
    <row r="22"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P196"/>
  <sheetViews>
    <sheetView showGridLines="0" showRowColHeaders="0" showZeros="0" zoomScale="80" zoomScaleNormal="80" zoomScalePageLayoutView="80" workbookViewId="0">
      <selection activeCell="D40" sqref="D40"/>
    </sheetView>
  </sheetViews>
  <sheetFormatPr baseColWidth="10" defaultColWidth="8.83203125" defaultRowHeight="12" x14ac:dyDescent="0"/>
  <cols>
    <col min="1" max="1" width="5.5" style="69" customWidth="1"/>
    <col min="2" max="2" width="22.5" style="69" customWidth="1"/>
    <col min="3" max="7" width="16.6640625" style="69" customWidth="1"/>
    <col min="8" max="8" width="4.83203125" style="69" customWidth="1"/>
    <col min="9" max="9" width="15.5" style="69" customWidth="1"/>
    <col min="10" max="10" width="25.83203125" style="69" customWidth="1"/>
    <col min="11" max="11" width="4.6640625" style="69" customWidth="1"/>
    <col min="12" max="12" width="20.83203125" style="69" customWidth="1"/>
    <col min="13" max="13" width="3.83203125" style="69" customWidth="1"/>
    <col min="14" max="16384" width="8.83203125" style="69"/>
  </cols>
  <sheetData>
    <row r="1" spans="2:13" ht="100" customHeight="1"/>
    <row r="2" spans="2:13" ht="17">
      <c r="B2" s="167" t="s">
        <v>223</v>
      </c>
      <c r="E2" s="168" t="s">
        <v>220</v>
      </c>
      <c r="G2" s="169" t="str">
        <f>Yr_1&amp;" - "&amp;Yr_1+4</f>
        <v>2018 - 2022</v>
      </c>
      <c r="J2" s="169"/>
      <c r="K2" s="169"/>
    </row>
    <row r="4" spans="2:13">
      <c r="J4" s="190"/>
      <c r="K4" s="170"/>
      <c r="M4" s="170"/>
    </row>
    <row r="5" spans="2:13" ht="21">
      <c r="J5" s="191" t="s">
        <v>216</v>
      </c>
      <c r="K5" s="171"/>
      <c r="M5" s="170"/>
    </row>
    <row r="6" spans="2:13" ht="17">
      <c r="J6" s="192"/>
      <c r="K6" s="170"/>
      <c r="M6" s="170"/>
    </row>
    <row r="7" spans="2:13">
      <c r="J7" s="193"/>
      <c r="K7" s="170"/>
      <c r="M7" s="170"/>
    </row>
    <row r="8" spans="2:13" ht="17">
      <c r="J8" s="194" t="str">
        <f>"First Year: "&amp;Yr_1</f>
        <v>First Year: 2018</v>
      </c>
      <c r="K8" s="170"/>
      <c r="M8" s="170"/>
    </row>
    <row r="9" spans="2:13" ht="17">
      <c r="J9" s="194"/>
      <c r="K9" s="170"/>
      <c r="M9" s="170"/>
    </row>
    <row r="10" spans="2:13" ht="17">
      <c r="J10" s="194" t="str">
        <f>"Tax Rate = "&amp;TaxRate*100&amp;"%"</f>
        <v>Tax Rate = 15%</v>
      </c>
      <c r="K10" s="170"/>
      <c r="M10" s="170"/>
    </row>
    <row r="11" spans="2:13">
      <c r="J11" s="193"/>
      <c r="K11" s="170"/>
      <c r="M11" s="170"/>
    </row>
    <row r="12" spans="2:13">
      <c r="J12" s="193"/>
      <c r="K12" s="170"/>
      <c r="M12" s="170"/>
    </row>
    <row r="13" spans="2:13">
      <c r="J13" s="195">
        <v>49</v>
      </c>
      <c r="K13" s="170"/>
      <c r="M13" s="170"/>
    </row>
    <row r="14" spans="2:13" ht="17">
      <c r="J14" s="194" t="str">
        <f>"Discount = "&amp;(Discount)&amp;"%"</f>
        <v>Discount = 49%</v>
      </c>
      <c r="K14" s="170"/>
      <c r="M14" s="170"/>
    </row>
    <row r="15" spans="2:13">
      <c r="J15" s="193"/>
      <c r="K15" s="170"/>
      <c r="L15" s="170"/>
      <c r="M15" s="170"/>
    </row>
    <row r="16" spans="2:13">
      <c r="J16" s="193"/>
      <c r="K16" s="170"/>
      <c r="L16" s="170"/>
      <c r="M16" s="170"/>
    </row>
    <row r="17" spans="1:13">
      <c r="J17" s="193"/>
      <c r="K17" s="170"/>
      <c r="L17" s="170"/>
      <c r="M17" s="170"/>
    </row>
    <row r="18" spans="1:13">
      <c r="J18" s="195">
        <v>32</v>
      </c>
      <c r="K18" s="170"/>
      <c r="L18" s="170"/>
      <c r="M18" s="170"/>
    </row>
    <row r="19" spans="1:13" ht="17">
      <c r="J19" s="194" t="str">
        <f>"Risk = "&amp;(Discount)&amp;"%"</f>
        <v>Risk = 49%</v>
      </c>
      <c r="K19" s="170"/>
      <c r="L19" s="170"/>
      <c r="M19" s="170"/>
    </row>
    <row r="20" spans="1:13">
      <c r="J20" s="193"/>
      <c r="K20" s="170"/>
      <c r="L20" s="170"/>
      <c r="M20" s="170"/>
    </row>
    <row r="21" spans="1:13">
      <c r="J21" s="193"/>
      <c r="K21" s="170"/>
      <c r="L21" s="170"/>
      <c r="M21" s="170"/>
    </row>
    <row r="22" spans="1:13">
      <c r="J22" s="196"/>
      <c r="K22" s="170"/>
      <c r="L22" s="170"/>
      <c r="M22" s="170"/>
    </row>
    <row r="26" spans="1:13" s="172" customFormat="1" ht="15">
      <c r="B26" s="172" t="s">
        <v>217</v>
      </c>
      <c r="C26" s="173">
        <f>Yr_1</f>
        <v>2018</v>
      </c>
      <c r="D26" s="173">
        <f>C26+1</f>
        <v>2019</v>
      </c>
      <c r="E26" s="173">
        <f>D26+1</f>
        <v>2020</v>
      </c>
      <c r="F26" s="173">
        <f>E26+1</f>
        <v>2021</v>
      </c>
      <c r="G26" s="173">
        <f>F26+1</f>
        <v>2022</v>
      </c>
      <c r="I26" s="173" t="s">
        <v>196</v>
      </c>
    </row>
    <row r="27" spans="1:13" ht="15">
      <c r="A27" s="209" t="s">
        <v>224</v>
      </c>
      <c r="B27" s="209"/>
      <c r="C27" s="174">
        <f>SUM(C190:F190)</f>
        <v>-4744.3939999999984</v>
      </c>
      <c r="D27" s="174">
        <f>SUM(G190:J190)</f>
        <v>2777.0859999999984</v>
      </c>
      <c r="E27" s="174">
        <f>SUM(K190:N190)</f>
        <v>9227.5659999999989</v>
      </c>
      <c r="F27" s="174">
        <f>SUM(O190:R190)</f>
        <v>15678.045999999998</v>
      </c>
      <c r="G27" s="174">
        <f>SUM(S190:V190)</f>
        <v>22128.525999999998</v>
      </c>
      <c r="H27" s="175"/>
      <c r="I27" s="176">
        <f>SUM(C27:H27)</f>
        <v>45066.829999999994</v>
      </c>
    </row>
    <row r="28" spans="1:13" ht="15">
      <c r="A28" s="209" t="s">
        <v>221</v>
      </c>
      <c r="B28" s="209"/>
      <c r="C28" s="174">
        <f t="shared" ref="C28:C29" si="0">SUM(C191:F191)</f>
        <v>-6977.0499999999993</v>
      </c>
      <c r="D28" s="174">
        <f>SUM(G191:J191)</f>
        <v>4083.9499999999985</v>
      </c>
      <c r="E28" s="174">
        <f>SUM(K191:N191)</f>
        <v>13569.949999999997</v>
      </c>
      <c r="F28" s="174">
        <f t="shared" ref="F28:F29" si="1">SUM(O191:R191)</f>
        <v>23055.949999999997</v>
      </c>
      <c r="G28" s="174">
        <f t="shared" ref="G28:G29" si="2">SUM(S191:V191)</f>
        <v>32541.950000000004</v>
      </c>
      <c r="H28" s="175"/>
      <c r="I28" s="176">
        <f t="shared" ref="I28:I29" si="3">SUM(C28:H28)</f>
        <v>66274.75</v>
      </c>
    </row>
    <row r="29" spans="1:13" ht="15">
      <c r="A29" s="209" t="s">
        <v>213</v>
      </c>
      <c r="B29" s="209"/>
      <c r="C29" s="174">
        <f t="shared" si="0"/>
        <v>-9209.7059999999983</v>
      </c>
      <c r="D29" s="174">
        <f>SUM(G192:J192)</f>
        <v>5390.8139999999985</v>
      </c>
      <c r="E29" s="174">
        <f>SUM(K192:N192)</f>
        <v>17912.334000000003</v>
      </c>
      <c r="F29" s="174">
        <f t="shared" si="1"/>
        <v>30433.853999999999</v>
      </c>
      <c r="G29" s="174">
        <f t="shared" si="2"/>
        <v>42955.374000000003</v>
      </c>
      <c r="H29" s="175"/>
      <c r="I29" s="176">
        <f t="shared" si="3"/>
        <v>87482.670000000013</v>
      </c>
    </row>
    <row r="30" spans="1:13" ht="15">
      <c r="B30" s="175"/>
      <c r="C30" s="175"/>
      <c r="D30" s="175"/>
      <c r="E30" s="175"/>
      <c r="F30" s="175"/>
      <c r="G30" s="175"/>
      <c r="H30" s="175"/>
      <c r="I30" s="175"/>
    </row>
    <row r="31" spans="1:13" ht="15">
      <c r="B31" s="172" t="s">
        <v>218</v>
      </c>
      <c r="C31" s="177" t="s">
        <v>225</v>
      </c>
      <c r="D31" s="178">
        <f>IRR(Payback!C190:J190)*12</f>
        <v>-1.1507159047428939</v>
      </c>
      <c r="E31" s="178">
        <f>IRR(Payback!C190:N190)*12</f>
        <v>1.5071654737009368</v>
      </c>
      <c r="F31" s="178">
        <f>IRR(Payback!C190:R190)*12</f>
        <v>2.3094034886434569</v>
      </c>
      <c r="G31" s="178">
        <f>IRR(Payback!C190:V190)*12</f>
        <v>2.6125645945222145</v>
      </c>
      <c r="H31" s="175"/>
      <c r="J31" s="179"/>
    </row>
    <row r="32" spans="1:13" ht="15">
      <c r="B32" s="175"/>
      <c r="C32" s="175"/>
      <c r="D32" s="175"/>
      <c r="E32" s="175"/>
      <c r="F32" s="175"/>
      <c r="G32" s="175"/>
      <c r="H32" s="175"/>
    </row>
    <row r="33" spans="2:10" ht="15">
      <c r="B33" s="172" t="str">
        <f>"NPV @ "&amp;(Discount)&amp;"%"</f>
        <v>NPV @ 49%</v>
      </c>
      <c r="C33" s="177" t="str">
        <f>A27</f>
        <v>Worst Case</v>
      </c>
      <c r="D33" s="176">
        <f>NPV(Payback!E$189,Payback!C190:J190)</f>
        <v>-2613.9271325652498</v>
      </c>
      <c r="E33" s="176">
        <f>NPV(Payback!E$189,Payback!C190:N190)</f>
        <v>81.866334215262867</v>
      </c>
      <c r="F33" s="176">
        <f>NPV(Payback!E$189,Payback!C190:R190)</f>
        <v>2997.4889649193447</v>
      </c>
      <c r="G33" s="176">
        <f>NPV(Payback!E$189,Payback!C190:V190)</f>
        <v>5600.9095044388223</v>
      </c>
      <c r="H33" s="175"/>
      <c r="J33" s="180"/>
    </row>
    <row r="34" spans="2:10" ht="15">
      <c r="B34" s="172"/>
      <c r="C34" s="177" t="str">
        <f t="shared" ref="C34:C35" si="4">A28</f>
        <v>Expected Case</v>
      </c>
      <c r="D34" s="176">
        <f>NPV(Payback!E$189,Payback!C191:J191)</f>
        <v>-3844.0104890665452</v>
      </c>
      <c r="E34" s="176">
        <f>NPV(Payback!E$189,Payback!C191:N191)</f>
        <v>120.39166796362153</v>
      </c>
      <c r="F34" s="176">
        <f>NPV(Payback!E$189,Payback!C191:R191)</f>
        <v>4408.0720072343311</v>
      </c>
      <c r="G34" s="176">
        <f>NPV(Payback!E$189,Payback!C191:V191)</f>
        <v>8236.6316241747409</v>
      </c>
      <c r="H34" s="175"/>
      <c r="J34" s="180"/>
    </row>
    <row r="35" spans="2:10" ht="15">
      <c r="B35" s="175"/>
      <c r="C35" s="177" t="str">
        <f t="shared" si="4"/>
        <v>Best Case</v>
      </c>
      <c r="D35" s="176">
        <f>NPV(Payback!E$189,Payback!C192:J192)</f>
        <v>-5074.0938455678379</v>
      </c>
      <c r="E35" s="176">
        <f>NPV(Payback!E$189,Payback!C192:N192)</f>
        <v>158.91700171198201</v>
      </c>
      <c r="F35" s="176">
        <f>NPV(Payback!E$189,Payback!C192:R192)</f>
        <v>5818.6550495493184</v>
      </c>
      <c r="G35" s="176">
        <f>NPV(Payback!E$189,Payback!C192:V192)</f>
        <v>10872.353743910659</v>
      </c>
      <c r="H35" s="175"/>
      <c r="J35" s="180"/>
    </row>
    <row r="36" spans="2:10" ht="15">
      <c r="B36" s="175"/>
      <c r="C36" s="175"/>
      <c r="D36" s="175"/>
      <c r="E36" s="175"/>
      <c r="F36" s="175"/>
      <c r="G36" s="175"/>
      <c r="H36" s="175"/>
    </row>
    <row r="37" spans="2:10" ht="15">
      <c r="B37" s="181" t="s">
        <v>219</v>
      </c>
      <c r="C37" s="175"/>
      <c r="D37" s="182">
        <f>C28+D28</f>
        <v>-2893.1000000000008</v>
      </c>
      <c r="E37" s="182">
        <f>E28+D37</f>
        <v>10676.849999999997</v>
      </c>
      <c r="F37" s="182">
        <f>F28+E37</f>
        <v>33732.799999999996</v>
      </c>
      <c r="G37" s="182">
        <f>G28+F37</f>
        <v>66274.75</v>
      </c>
      <c r="H37" s="175"/>
      <c r="J37" s="183"/>
    </row>
    <row r="188" spans="1:68" ht="15">
      <c r="C188" s="184" t="s">
        <v>214</v>
      </c>
    </row>
    <row r="189" spans="1:68" s="185" customFormat="1" ht="18.75" customHeight="1">
      <c r="B189" s="184"/>
      <c r="C189" s="186" t="s">
        <v>222</v>
      </c>
      <c r="D189" s="186"/>
      <c r="E189" s="187">
        <f>Discount/400</f>
        <v>0.1225</v>
      </c>
      <c r="F189" s="186"/>
      <c r="G189" s="186"/>
      <c r="H189" s="186"/>
      <c r="I189" s="186"/>
      <c r="J189" s="186"/>
      <c r="K189" s="186"/>
      <c r="L189" s="186"/>
      <c r="M189" s="186"/>
      <c r="N189" s="186"/>
      <c r="O189" s="186"/>
      <c r="P189" s="186"/>
      <c r="Q189" s="186"/>
      <c r="R189" s="186"/>
      <c r="S189" s="186"/>
      <c r="T189" s="186"/>
      <c r="U189" s="186"/>
      <c r="V189" s="186"/>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row>
    <row r="190" spans="1:68" s="185" customFormat="1" ht="18.75" customHeight="1">
      <c r="B190" s="188" t="str">
        <f>A27</f>
        <v>Worst Case</v>
      </c>
      <c r="C190" s="174">
        <f t="shared" ref="C190:V190" si="5">C191*(1-Risk/100)</f>
        <v>-1778.0809999999979</v>
      </c>
      <c r="D190" s="174">
        <f t="shared" si="5"/>
        <v>-1935.9260000000004</v>
      </c>
      <c r="E190" s="174">
        <f t="shared" si="5"/>
        <v>-716.77100000000064</v>
      </c>
      <c r="F190" s="174">
        <f t="shared" si="5"/>
        <v>-313.61600000000016</v>
      </c>
      <c r="G190" s="174">
        <f t="shared" si="5"/>
        <v>89.538999999999504</v>
      </c>
      <c r="H190" s="174">
        <f t="shared" si="5"/>
        <v>492.69399999999979</v>
      </c>
      <c r="I190" s="174">
        <f t="shared" si="5"/>
        <v>895.84899999999971</v>
      </c>
      <c r="J190" s="174">
        <f t="shared" si="5"/>
        <v>1299.0039999999997</v>
      </c>
      <c r="K190" s="174">
        <f t="shared" si="5"/>
        <v>1702.1589999999985</v>
      </c>
      <c r="L190" s="174">
        <f t="shared" si="5"/>
        <v>2105.3140000000008</v>
      </c>
      <c r="M190" s="174">
        <f t="shared" si="5"/>
        <v>2508.4690000000001</v>
      </c>
      <c r="N190" s="174">
        <f t="shared" si="5"/>
        <v>2911.6239999999998</v>
      </c>
      <c r="O190" s="174">
        <f t="shared" si="5"/>
        <v>3314.779</v>
      </c>
      <c r="P190" s="174">
        <f t="shared" si="5"/>
        <v>3717.9339999999993</v>
      </c>
      <c r="Q190" s="174">
        <f t="shared" si="5"/>
        <v>4121.0889999999999</v>
      </c>
      <c r="R190" s="174">
        <f t="shared" si="5"/>
        <v>4524.2439999999997</v>
      </c>
      <c r="S190" s="174">
        <f t="shared" si="5"/>
        <v>4927.3989999999985</v>
      </c>
      <c r="T190" s="174">
        <f t="shared" si="5"/>
        <v>5330.5539999999992</v>
      </c>
      <c r="U190" s="174">
        <f t="shared" si="5"/>
        <v>5733.7089999999998</v>
      </c>
      <c r="V190" s="174">
        <f t="shared" si="5"/>
        <v>6136.8640000000005</v>
      </c>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row>
    <row r="191" spans="1:68" s="185" customFormat="1" ht="18.75" customHeight="1">
      <c r="A191" s="184"/>
      <c r="B191" s="188" t="str">
        <f t="shared" ref="B191:B192" si="6">A28</f>
        <v>Expected Case</v>
      </c>
      <c r="C191" s="174">
        <f>CF!B21</f>
        <v>-2614.8249999999971</v>
      </c>
      <c r="D191" s="174">
        <f>CF!C21</f>
        <v>-2846.9500000000007</v>
      </c>
      <c r="E191" s="174">
        <f>CF!D21</f>
        <v>-1054.075000000001</v>
      </c>
      <c r="F191" s="174">
        <f>CF!E21</f>
        <v>-461.20000000000027</v>
      </c>
      <c r="G191" s="174">
        <f>CF!F21</f>
        <v>131.67499999999927</v>
      </c>
      <c r="H191" s="174">
        <f>CF!G21</f>
        <v>724.54999999999973</v>
      </c>
      <c r="I191" s="174">
        <f>CF!H21</f>
        <v>1317.4249999999997</v>
      </c>
      <c r="J191" s="174">
        <f>CF!I21</f>
        <v>1910.2999999999997</v>
      </c>
      <c r="K191" s="174">
        <f>CF!J21</f>
        <v>2503.1749999999979</v>
      </c>
      <c r="L191" s="174">
        <f>CF!K21</f>
        <v>3096.0500000000011</v>
      </c>
      <c r="M191" s="174">
        <f>CF!L21</f>
        <v>3688.9250000000002</v>
      </c>
      <c r="N191" s="174">
        <f>CF!M21</f>
        <v>4281.8</v>
      </c>
      <c r="O191" s="174">
        <f>CF!N21</f>
        <v>4874.6750000000002</v>
      </c>
      <c r="P191" s="174">
        <f>CF!O21</f>
        <v>5467.5499999999993</v>
      </c>
      <c r="Q191" s="174">
        <f>CF!P21</f>
        <v>6060.4250000000002</v>
      </c>
      <c r="R191" s="174">
        <f>CF!Q21</f>
        <v>6653.3</v>
      </c>
      <c r="S191" s="174">
        <f>CF!R21</f>
        <v>7246.1749999999984</v>
      </c>
      <c r="T191" s="174">
        <f>CF!S21</f>
        <v>7839.0499999999993</v>
      </c>
      <c r="U191" s="174">
        <f>CF!T21</f>
        <v>8431.9250000000011</v>
      </c>
      <c r="V191" s="174">
        <f>CF!U21</f>
        <v>9024.8000000000011</v>
      </c>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69"/>
    </row>
    <row r="192" spans="1:68" s="185" customFormat="1" ht="18.75" customHeight="1">
      <c r="A192" s="184"/>
      <c r="B192" s="188" t="str">
        <f t="shared" si="6"/>
        <v>Best Case</v>
      </c>
      <c r="C192" s="174">
        <f t="shared" ref="C192:V192" si="7">C191*(1+Risk/100)</f>
        <v>-3451.5689999999963</v>
      </c>
      <c r="D192" s="174">
        <f t="shared" si="7"/>
        <v>-3757.9740000000011</v>
      </c>
      <c r="E192" s="174">
        <f t="shared" si="7"/>
        <v>-1391.3790000000013</v>
      </c>
      <c r="F192" s="174">
        <f t="shared" si="7"/>
        <v>-608.78400000000033</v>
      </c>
      <c r="G192" s="174">
        <f t="shared" si="7"/>
        <v>173.81099999999904</v>
      </c>
      <c r="H192" s="174">
        <f t="shared" si="7"/>
        <v>956.40599999999972</v>
      </c>
      <c r="I192" s="174">
        <f t="shared" si="7"/>
        <v>1739.0009999999997</v>
      </c>
      <c r="J192" s="174">
        <f t="shared" si="7"/>
        <v>2521.5959999999995</v>
      </c>
      <c r="K192" s="174">
        <f t="shared" si="7"/>
        <v>3304.1909999999975</v>
      </c>
      <c r="L192" s="174">
        <f t="shared" si="7"/>
        <v>4086.7860000000014</v>
      </c>
      <c r="M192" s="174">
        <f t="shared" si="7"/>
        <v>4869.3810000000003</v>
      </c>
      <c r="N192" s="174">
        <f t="shared" si="7"/>
        <v>5651.9760000000006</v>
      </c>
      <c r="O192" s="174">
        <f t="shared" si="7"/>
        <v>6434.5710000000008</v>
      </c>
      <c r="P192" s="174">
        <f t="shared" si="7"/>
        <v>7217.1659999999993</v>
      </c>
      <c r="Q192" s="174">
        <f t="shared" si="7"/>
        <v>7999.7610000000004</v>
      </c>
      <c r="R192" s="174">
        <f t="shared" si="7"/>
        <v>8782.3559999999998</v>
      </c>
      <c r="S192" s="174">
        <f t="shared" si="7"/>
        <v>9564.9509999999991</v>
      </c>
      <c r="T192" s="174">
        <f t="shared" si="7"/>
        <v>10347.546</v>
      </c>
      <c r="U192" s="174">
        <f t="shared" si="7"/>
        <v>11130.141000000001</v>
      </c>
      <c r="V192" s="174">
        <f t="shared" si="7"/>
        <v>11912.736000000003</v>
      </c>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row>
    <row r="193" spans="2:68" ht="15">
      <c r="C193" s="189" t="s">
        <v>215</v>
      </c>
    </row>
    <row r="194" spans="2:68" s="185" customFormat="1" ht="18.75" customHeight="1">
      <c r="B194" s="188" t="str">
        <f>A29</f>
        <v>Best Case</v>
      </c>
      <c r="C194" s="174">
        <f>Payback!C192</f>
        <v>-3451.5689999999963</v>
      </c>
      <c r="D194" s="174">
        <f>C194+Payback!D192</f>
        <v>-7209.5429999999978</v>
      </c>
      <c r="E194" s="174">
        <f>D194+Payback!E192</f>
        <v>-8600.9219999999987</v>
      </c>
      <c r="F194" s="174">
        <f>E194+Payback!F192</f>
        <v>-9209.7059999999983</v>
      </c>
      <c r="G194" s="174">
        <f>F194+Payback!G192</f>
        <v>-9035.8949999999986</v>
      </c>
      <c r="H194" s="174">
        <f>G194+Payback!H192</f>
        <v>-8079.4889999999987</v>
      </c>
      <c r="I194" s="174">
        <f>H194+Payback!I192</f>
        <v>-6340.4879999999994</v>
      </c>
      <c r="J194" s="174">
        <f>I194+Payback!J192</f>
        <v>-3818.8919999999998</v>
      </c>
      <c r="K194" s="174">
        <f>J194+Payback!K192</f>
        <v>-514.7010000000023</v>
      </c>
      <c r="L194" s="174">
        <f>K194+Payback!L192</f>
        <v>3572.0849999999991</v>
      </c>
      <c r="M194" s="174">
        <f>L194+Payback!M192</f>
        <v>8441.4660000000003</v>
      </c>
      <c r="N194" s="174">
        <f>M194+Payback!N192</f>
        <v>14093.442000000001</v>
      </c>
      <c r="O194" s="174">
        <f>N194+Payback!O192</f>
        <v>20528.013000000003</v>
      </c>
      <c r="P194" s="174">
        <f>O194+Payback!P192</f>
        <v>27745.179000000004</v>
      </c>
      <c r="Q194" s="174">
        <f>P194+Payback!Q192</f>
        <v>35744.94</v>
      </c>
      <c r="R194" s="174">
        <f>Q194+Payback!R192</f>
        <v>44527.296000000002</v>
      </c>
      <c r="S194" s="174">
        <f>R194+Payback!S192</f>
        <v>54092.247000000003</v>
      </c>
      <c r="T194" s="174">
        <f>S194+Payback!T192</f>
        <v>64439.793000000005</v>
      </c>
      <c r="U194" s="174">
        <f>T194+Payback!U192</f>
        <v>75569.934000000008</v>
      </c>
      <c r="V194" s="174">
        <f>U194+Payback!V192</f>
        <v>87482.670000000013</v>
      </c>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row>
    <row r="195" spans="2:68" s="185" customFormat="1" ht="18.75" customHeight="1">
      <c r="B195" s="188" t="str">
        <f t="shared" ref="B195" si="8">A28</f>
        <v>Expected Case</v>
      </c>
      <c r="C195" s="174">
        <f>CF!B22</f>
        <v>-2614.8249999999971</v>
      </c>
      <c r="D195" s="174">
        <f>CF!C22</f>
        <v>-5461.7749999999978</v>
      </c>
      <c r="E195" s="174">
        <f>CF!D22</f>
        <v>-6515.8499999999985</v>
      </c>
      <c r="F195" s="174">
        <f>CF!E22</f>
        <v>-6977.0499999999993</v>
      </c>
      <c r="G195" s="174">
        <f>CF!F22</f>
        <v>-6845.375</v>
      </c>
      <c r="H195" s="174">
        <f>CF!G22</f>
        <v>-6120.8250000000007</v>
      </c>
      <c r="I195" s="174">
        <f>CF!H22</f>
        <v>-4803.4000000000015</v>
      </c>
      <c r="J195" s="174">
        <f>CF!I22</f>
        <v>-2893.1000000000017</v>
      </c>
      <c r="K195" s="174">
        <f>CF!J22</f>
        <v>-389.92500000000382</v>
      </c>
      <c r="L195" s="174">
        <f>CF!K22</f>
        <v>2706.1249999999973</v>
      </c>
      <c r="M195" s="174">
        <f>CF!L22</f>
        <v>6395.0499999999975</v>
      </c>
      <c r="N195" s="174">
        <f>CF!M22</f>
        <v>10676.849999999999</v>
      </c>
      <c r="O195" s="174">
        <f>CF!N22</f>
        <v>15551.524999999998</v>
      </c>
      <c r="P195" s="174">
        <f>CF!O22</f>
        <v>21019.074999999997</v>
      </c>
      <c r="Q195" s="174">
        <f>CF!P22</f>
        <v>27079.499999999996</v>
      </c>
      <c r="R195" s="174">
        <f>CF!Q22</f>
        <v>33732.799999999996</v>
      </c>
      <c r="S195" s="174">
        <f>CF!R22</f>
        <v>40978.974999999991</v>
      </c>
      <c r="T195" s="174">
        <f>CF!S22</f>
        <v>48818.024999999994</v>
      </c>
      <c r="U195" s="174">
        <f>CF!T22</f>
        <v>57249.95</v>
      </c>
      <c r="V195" s="174">
        <f>CF!U22</f>
        <v>66274.75</v>
      </c>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row>
    <row r="196" spans="2:68" s="185" customFormat="1" ht="18.75" customHeight="1">
      <c r="B196" s="188" t="str">
        <f>A27</f>
        <v>Worst Case</v>
      </c>
      <c r="C196" s="174">
        <f>Payback!C190</f>
        <v>-1778.0809999999979</v>
      </c>
      <c r="D196" s="174">
        <f>C196+Payback!D190</f>
        <v>-3714.0069999999982</v>
      </c>
      <c r="E196" s="174">
        <f>D196+Payback!E190</f>
        <v>-4430.7779999999984</v>
      </c>
      <c r="F196" s="174">
        <f>E196+Payback!F190</f>
        <v>-4744.3939999999984</v>
      </c>
      <c r="G196" s="174">
        <f>F196+Payback!G190</f>
        <v>-4654.8549999999987</v>
      </c>
      <c r="H196" s="174">
        <f>G196+Payback!H190</f>
        <v>-4162.1609999999991</v>
      </c>
      <c r="I196" s="174">
        <f>H196+Payback!I190</f>
        <v>-3266.3119999999994</v>
      </c>
      <c r="J196" s="174">
        <f>I196+Payback!J190</f>
        <v>-1967.3079999999998</v>
      </c>
      <c r="K196" s="174">
        <f>J196+Payback!K190</f>
        <v>-265.14900000000125</v>
      </c>
      <c r="L196" s="174">
        <f>K196+Payback!L190</f>
        <v>1840.1649999999995</v>
      </c>
      <c r="M196" s="174">
        <f>L196+Payback!M190</f>
        <v>4348.634</v>
      </c>
      <c r="N196" s="174">
        <f>M196+Payback!N190</f>
        <v>7260.2579999999998</v>
      </c>
      <c r="O196" s="174">
        <f>N196+Payback!O190</f>
        <v>10575.037</v>
      </c>
      <c r="P196" s="174">
        <f>O196+Payback!P190</f>
        <v>14292.971</v>
      </c>
      <c r="Q196" s="174">
        <f>P196+Payback!Q190</f>
        <v>18414.059999999998</v>
      </c>
      <c r="R196" s="174">
        <f>Q196+Payback!R190</f>
        <v>22938.303999999996</v>
      </c>
      <c r="S196" s="174">
        <f>R196+Payback!S190</f>
        <v>27865.702999999994</v>
      </c>
      <c r="T196" s="174">
        <f>S196+Payback!T190</f>
        <v>33196.256999999991</v>
      </c>
      <c r="U196" s="174">
        <f>T196+Payback!U190</f>
        <v>38929.965999999993</v>
      </c>
      <c r="V196" s="174">
        <f>U196+Payback!V190</f>
        <v>45066.829999999994</v>
      </c>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row>
  </sheetData>
  <sheetProtection sheet="1" objects="1" scenarios="1" selectLockedCells="1" selectUnlockedCells="1"/>
  <mergeCells count="3">
    <mergeCell ref="A29:B29"/>
    <mergeCell ref="A28:B28"/>
    <mergeCell ref="A27:B27"/>
  </mergeCells>
  <phoneticPr fontId="26" type="noConversion"/>
  <conditionalFormatting sqref="J33:J35 D33:G35">
    <cfRule type="cellIs" dxfId="0" priority="1" stopIfTrue="1" operator="lessThan">
      <formula>0</formula>
    </cfRule>
  </conditionalFormatting>
  <pageMargins left="0.75" right="0.75" top="1" bottom="1" header="0.5" footer="0.5"/>
  <pageSetup scale="76" orientation="landscape" horizontalDpi="4294967293" verticalDpi="4294967293"/>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7410" r:id="rId3" name="Scroll Bar 2">
              <controlPr defaultSize="0" autoPict="0">
                <anchor moveWithCells="1">
                  <from>
                    <xdr:col>9</xdr:col>
                    <xdr:colOff>203200</xdr:colOff>
                    <xdr:row>11</xdr:row>
                    <xdr:rowOff>76200</xdr:rowOff>
                  </from>
                  <to>
                    <xdr:col>9</xdr:col>
                    <xdr:colOff>1790700</xdr:colOff>
                    <xdr:row>12</xdr:row>
                    <xdr:rowOff>152400</xdr:rowOff>
                  </to>
                </anchor>
              </controlPr>
            </control>
          </mc:Choice>
          <mc:Fallback/>
        </mc:AlternateContent>
        <mc:AlternateContent xmlns:mc="http://schemas.openxmlformats.org/markup-compatibility/2006">
          <mc:Choice Requires="x14">
            <control shapeId="17420" r:id="rId4" name="Scroll Bar 12">
              <controlPr defaultSize="0" print="0" autoPict="0">
                <anchor moveWithCells="1">
                  <from>
                    <xdr:col>9</xdr:col>
                    <xdr:colOff>215900</xdr:colOff>
                    <xdr:row>16</xdr:row>
                    <xdr:rowOff>76200</xdr:rowOff>
                  </from>
                  <to>
                    <xdr:col>9</xdr:col>
                    <xdr:colOff>1803400</xdr:colOff>
                    <xdr:row>17</xdr:row>
                    <xdr:rowOff>152400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86" customWidth="1"/>
    <col min="2" max="2" width="170.5" style="86" customWidth="1"/>
    <col min="3" max="3" width="3.6640625" style="86" customWidth="1"/>
    <col min="4" max="7" width="6" style="86" customWidth="1"/>
    <col min="8" max="8" width="3.6640625" style="86" customWidth="1"/>
    <col min="9" max="16384" width="8.83203125" style="86"/>
  </cols>
  <sheetData>
    <row r="1" spans="2:2" ht="100" customHeight="1">
      <c r="B1" s="85"/>
    </row>
    <row r="14" spans="2:2" ht="12.75" customHeight="1"/>
    <row r="15" spans="2:2" ht="12.75" customHeight="1"/>
    <row r="16" spans="2: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A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1" customWidth="1"/>
    <col min="2" max="7" width="6" style="1" customWidth="1"/>
    <col min="8" max="8" width="3.6640625" style="1" customWidth="1"/>
    <col min="9" max="16384" width="8.83203125" style="1"/>
  </cols>
  <sheetData>
    <row r="1" ht="100"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dimension ref="B1:B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87" customWidth="1"/>
    <col min="2" max="2" width="120.83203125" style="87" customWidth="1"/>
    <col min="3" max="8" width="6" style="87" customWidth="1"/>
    <col min="9" max="9" width="3.6640625" style="87" customWidth="1"/>
    <col min="10" max="16384" width="8.83203125" style="87"/>
  </cols>
  <sheetData>
    <row r="1" spans="2:2" ht="100" customHeight="1">
      <c r="B1" s="88"/>
    </row>
    <row r="3" spans="2:2" ht="12.75" customHeight="1"/>
    <row r="5" spans="2:2" ht="12.75" customHeight="1"/>
    <row r="6" spans="2:2" ht="12.75" customHeight="1"/>
    <row r="7" spans="2:2" ht="12.75" customHeight="1">
      <c r="B7" s="89"/>
    </row>
    <row r="8" spans="2:2" ht="12.75" customHeight="1"/>
    <row r="9" spans="2:2" ht="12.75" customHeight="1"/>
    <row r="10" spans="2:2" ht="12.75" customHeight="1"/>
    <row r="11" spans="2:2" ht="12.75" customHeight="1"/>
    <row r="12" spans="2:2" ht="12.75" customHeight="1"/>
    <row r="13" spans="2:2" ht="12.75" customHeight="1"/>
    <row r="14" spans="2:2" ht="12.75" customHeight="1"/>
    <row r="15" spans="2:2" ht="12.75" customHeight="1"/>
    <row r="16" spans="2: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C1:G6"/>
  <sheetViews>
    <sheetView showGridLines="0" showRowColHeaders="0" zoomScale="80" zoomScaleNormal="80" zoomScalePageLayoutView="80" workbookViewId="0">
      <selection activeCell="D6" sqref="D6"/>
    </sheetView>
  </sheetViews>
  <sheetFormatPr baseColWidth="10" defaultColWidth="8.83203125" defaultRowHeight="17" x14ac:dyDescent="0"/>
  <cols>
    <col min="1" max="1" width="5.83203125" style="91" customWidth="1"/>
    <col min="2" max="2" width="8.83203125" style="91"/>
    <col min="3" max="3" width="34.6640625" style="91" customWidth="1"/>
    <col min="4" max="4" width="25.6640625" style="91" customWidth="1"/>
    <col min="5" max="5" width="34.83203125" style="91" customWidth="1"/>
    <col min="6" max="6" width="8.83203125" style="91"/>
    <col min="7" max="7" width="120.6640625" style="91" customWidth="1"/>
    <col min="8" max="8" width="4.6640625" style="91" customWidth="1"/>
    <col min="9" max="9" width="70.83203125" style="91" customWidth="1"/>
    <col min="10" max="17" width="12.6640625" style="91" customWidth="1"/>
    <col min="18" max="16384" width="8.83203125" style="91"/>
  </cols>
  <sheetData>
    <row r="1" spans="3:7" ht="100" customHeight="1">
      <c r="G1" s="90"/>
    </row>
    <row r="2" spans="3:7" ht="23">
      <c r="C2" s="92" t="s">
        <v>226</v>
      </c>
    </row>
    <row r="6" spans="3:7" ht="23">
      <c r="E6" s="92" t="s">
        <v>227</v>
      </c>
    </row>
  </sheetData>
  <sheetProtection sheet="1" objects="1" scenarios="1" selectLockedCells="1" selectUnlockedCells="1"/>
  <pageMargins left="0.75" right="0.5" top="1" bottom="1" header="0.5" footer="0.5"/>
  <pageSetup scale="65" orientation="landscape" horizontalDpi="4294967293" verticalDpi="4294967293"/>
  <headerFooter alignWithMargins="0">
    <oddFooter>&amp;L&amp;F &amp;A&amp;R&amp;D  &amp;T</oddFooter>
  </headerFooter>
  <colBreaks count="1" manualBreakCount="1">
    <brk id="12" max="1048575" man="1"/>
  </colBreaks>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V42"/>
  <sheetViews>
    <sheetView showGridLines="0" showRowColHeaders="0" zoomScale="80" zoomScaleNormal="80" zoomScalePageLayoutView="80" workbookViewId="0">
      <selection activeCell="D6" sqref="D6"/>
    </sheetView>
  </sheetViews>
  <sheetFormatPr baseColWidth="10" defaultColWidth="8.83203125" defaultRowHeight="17" x14ac:dyDescent="0"/>
  <cols>
    <col min="1" max="1" width="5.6640625" style="91" customWidth="1"/>
    <col min="2" max="2" width="4.33203125" style="91" customWidth="1"/>
    <col min="3" max="7" width="12.6640625" style="91" customWidth="1"/>
    <col min="8" max="8" width="4.33203125" style="91" customWidth="1"/>
    <col min="9" max="10" width="4.1640625" style="91" customWidth="1"/>
    <col min="11" max="12" width="12.83203125" style="91" customWidth="1"/>
    <col min="13" max="15" width="12.6640625" style="91" customWidth="1"/>
    <col min="16" max="16" width="4.33203125" style="91" customWidth="1"/>
    <col min="17" max="20" width="12.6640625" style="91" customWidth="1"/>
    <col min="21" max="21" width="12.83203125" style="91" customWidth="1"/>
    <col min="22" max="22" width="4.33203125" style="91" customWidth="1"/>
    <col min="23" max="23" width="12.83203125" style="91" customWidth="1"/>
    <col min="24" max="16384" width="8.83203125" style="91"/>
  </cols>
  <sheetData>
    <row r="1" spans="2:22" ht="100" customHeight="1">
      <c r="H1" s="90"/>
      <c r="I1" s="90"/>
      <c r="J1" s="90"/>
    </row>
    <row r="2" spans="2:22">
      <c r="B2" s="157"/>
      <c r="C2" s="158"/>
      <c r="D2" s="158"/>
      <c r="E2" s="158"/>
      <c r="F2" s="158"/>
      <c r="G2" s="158"/>
      <c r="H2" s="159"/>
      <c r="J2" s="157"/>
      <c r="K2" s="158"/>
      <c r="L2" s="158"/>
      <c r="M2" s="158"/>
      <c r="N2" s="158"/>
      <c r="O2" s="158"/>
      <c r="P2" s="158"/>
      <c r="Q2" s="158"/>
      <c r="R2" s="158"/>
      <c r="S2" s="158"/>
      <c r="T2" s="158"/>
      <c r="U2" s="158"/>
      <c r="V2" s="159"/>
    </row>
    <row r="3" spans="2:22" ht="21">
      <c r="B3" s="160"/>
      <c r="C3" s="161"/>
      <c r="D3" s="161"/>
      <c r="E3" s="166" t="s">
        <v>233</v>
      </c>
      <c r="F3" s="161"/>
      <c r="G3" s="161"/>
      <c r="H3" s="162"/>
      <c r="J3" s="160"/>
      <c r="K3" s="161"/>
      <c r="L3" s="161"/>
      <c r="M3" s="161"/>
      <c r="N3" s="161"/>
      <c r="O3" s="161"/>
      <c r="P3" s="166" t="s">
        <v>234</v>
      </c>
      <c r="Q3" s="161"/>
      <c r="R3" s="161"/>
      <c r="S3" s="161"/>
      <c r="T3" s="161"/>
      <c r="U3" s="161"/>
      <c r="V3" s="162"/>
    </row>
    <row r="4" spans="2:22">
      <c r="B4" s="160"/>
      <c r="C4" s="161"/>
      <c r="D4" s="161"/>
      <c r="E4" s="161"/>
      <c r="F4" s="161"/>
      <c r="G4" s="161"/>
      <c r="H4" s="162"/>
      <c r="J4" s="160"/>
      <c r="K4" s="161"/>
      <c r="L4" s="161"/>
      <c r="M4" s="161"/>
      <c r="N4" s="161"/>
      <c r="O4" s="161"/>
      <c r="P4" s="161"/>
      <c r="Q4" s="161"/>
      <c r="R4" s="161"/>
      <c r="S4" s="161"/>
      <c r="T4" s="161"/>
      <c r="U4" s="161"/>
      <c r="V4" s="162"/>
    </row>
    <row r="5" spans="2:22">
      <c r="B5" s="160"/>
      <c r="C5" s="161"/>
      <c r="D5" s="161"/>
      <c r="E5" s="161"/>
      <c r="F5" s="161"/>
      <c r="G5" s="161"/>
      <c r="H5" s="162"/>
      <c r="J5" s="160"/>
      <c r="K5" s="161"/>
      <c r="L5" s="161"/>
      <c r="M5" s="161"/>
      <c r="N5" s="161"/>
      <c r="O5" s="161"/>
      <c r="Q5" s="161"/>
      <c r="R5" s="161"/>
      <c r="S5" s="161"/>
      <c r="T5" s="161"/>
      <c r="U5" s="161"/>
      <c r="V5" s="162"/>
    </row>
    <row r="6" spans="2:22">
      <c r="B6" s="160"/>
      <c r="C6" s="161"/>
      <c r="D6" s="161"/>
      <c r="E6" s="161"/>
      <c r="F6" s="161"/>
      <c r="G6" s="161"/>
      <c r="H6" s="162"/>
      <c r="J6" s="160"/>
      <c r="K6" s="161"/>
      <c r="L6" s="161"/>
      <c r="M6" s="161"/>
      <c r="N6" s="161"/>
      <c r="O6" s="161"/>
      <c r="Q6" s="161"/>
      <c r="R6" s="161"/>
      <c r="S6" s="161"/>
      <c r="T6" s="161"/>
      <c r="U6" s="161"/>
      <c r="V6" s="162"/>
    </row>
    <row r="7" spans="2:22">
      <c r="B7" s="160"/>
      <c r="C7" s="161"/>
      <c r="D7" s="161"/>
      <c r="E7" s="161"/>
      <c r="F7" s="161"/>
      <c r="G7" s="161"/>
      <c r="H7" s="162"/>
      <c r="J7" s="160"/>
      <c r="K7" s="161"/>
      <c r="L7" s="161"/>
      <c r="M7" s="161"/>
      <c r="N7" s="161"/>
      <c r="O7" s="161"/>
      <c r="Q7" s="161"/>
      <c r="R7" s="161"/>
      <c r="S7" s="161"/>
      <c r="T7" s="161"/>
      <c r="U7" s="161"/>
      <c r="V7" s="162"/>
    </row>
    <row r="8" spans="2:22">
      <c r="B8" s="160"/>
      <c r="C8" s="161"/>
      <c r="D8" s="161"/>
      <c r="E8" s="161"/>
      <c r="F8" s="161"/>
      <c r="G8" s="161"/>
      <c r="H8" s="162"/>
      <c r="J8" s="160"/>
      <c r="K8" s="161"/>
      <c r="L8" s="161"/>
      <c r="M8" s="161"/>
      <c r="N8" s="161"/>
      <c r="O8" s="161"/>
      <c r="Q8" s="161"/>
      <c r="R8" s="161"/>
      <c r="S8" s="161"/>
      <c r="T8" s="161"/>
      <c r="U8" s="161"/>
      <c r="V8" s="162"/>
    </row>
    <row r="9" spans="2:22">
      <c r="B9" s="160"/>
      <c r="C9" s="161"/>
      <c r="D9" s="161"/>
      <c r="E9" s="161"/>
      <c r="F9" s="161"/>
      <c r="G9" s="161"/>
      <c r="H9" s="162"/>
      <c r="J9" s="160"/>
      <c r="K9" s="161"/>
      <c r="L9" s="161"/>
      <c r="M9" s="161"/>
      <c r="N9" s="161"/>
      <c r="O9" s="161"/>
      <c r="Q9" s="161"/>
      <c r="R9" s="161"/>
      <c r="S9" s="161"/>
      <c r="T9" s="161"/>
      <c r="U9" s="161"/>
      <c r="V9" s="162"/>
    </row>
    <row r="10" spans="2:22">
      <c r="B10" s="160"/>
      <c r="C10" s="161"/>
      <c r="D10" s="161"/>
      <c r="E10" s="161"/>
      <c r="F10" s="161"/>
      <c r="G10" s="161"/>
      <c r="H10" s="162"/>
      <c r="J10" s="160"/>
      <c r="K10" s="161"/>
      <c r="L10" s="161"/>
      <c r="M10" s="161"/>
      <c r="N10" s="161"/>
      <c r="O10" s="161"/>
      <c r="Q10" s="161"/>
      <c r="R10" s="161"/>
      <c r="S10" s="161"/>
      <c r="T10" s="161"/>
      <c r="U10" s="161"/>
      <c r="V10" s="162"/>
    </row>
    <row r="11" spans="2:22">
      <c r="B11" s="160"/>
      <c r="C11" s="161"/>
      <c r="D11" s="161"/>
      <c r="E11" s="161"/>
      <c r="F11" s="161"/>
      <c r="G11" s="161"/>
      <c r="H11" s="162"/>
      <c r="J11" s="160"/>
      <c r="K11" s="161"/>
      <c r="L11" s="161"/>
      <c r="M11" s="161"/>
      <c r="N11" s="161"/>
      <c r="O11" s="161"/>
      <c r="Q11" s="161"/>
      <c r="R11" s="161"/>
      <c r="S11" s="161"/>
      <c r="T11" s="161"/>
      <c r="U11" s="161"/>
      <c r="V11" s="162"/>
    </row>
    <row r="12" spans="2:22">
      <c r="B12" s="160"/>
      <c r="C12" s="161"/>
      <c r="D12" s="161"/>
      <c r="E12" s="161"/>
      <c r="F12" s="161"/>
      <c r="G12" s="161"/>
      <c r="H12" s="162"/>
      <c r="J12" s="160"/>
      <c r="K12" s="161"/>
      <c r="L12" s="161"/>
      <c r="M12" s="161"/>
      <c r="N12" s="161"/>
      <c r="O12" s="161"/>
      <c r="Q12" s="161"/>
      <c r="R12" s="161"/>
      <c r="S12" s="161"/>
      <c r="T12" s="161"/>
      <c r="U12" s="161"/>
      <c r="V12" s="162"/>
    </row>
    <row r="13" spans="2:22">
      <c r="B13" s="160"/>
      <c r="C13" s="161"/>
      <c r="D13" s="161"/>
      <c r="E13" s="161"/>
      <c r="F13" s="161"/>
      <c r="G13" s="161"/>
      <c r="H13" s="162"/>
      <c r="J13" s="160"/>
      <c r="K13" s="161"/>
      <c r="L13" s="161"/>
      <c r="M13" s="161"/>
      <c r="N13" s="161"/>
      <c r="O13" s="161"/>
      <c r="Q13" s="161"/>
      <c r="R13" s="161"/>
      <c r="S13" s="161"/>
      <c r="T13" s="161"/>
      <c r="U13" s="161"/>
      <c r="V13" s="162"/>
    </row>
    <row r="14" spans="2:22">
      <c r="B14" s="160"/>
      <c r="C14" s="161"/>
      <c r="D14" s="161"/>
      <c r="E14" s="161"/>
      <c r="F14" s="161"/>
      <c r="G14" s="161"/>
      <c r="H14" s="162"/>
      <c r="J14" s="160"/>
      <c r="K14" s="161"/>
      <c r="L14" s="161"/>
      <c r="M14" s="161"/>
      <c r="N14" s="161"/>
      <c r="O14" s="161"/>
      <c r="Q14" s="161"/>
      <c r="R14" s="161"/>
      <c r="S14" s="161"/>
      <c r="T14" s="161"/>
      <c r="U14" s="161"/>
      <c r="V14" s="162"/>
    </row>
    <row r="15" spans="2:22">
      <c r="B15" s="160"/>
      <c r="C15" s="161"/>
      <c r="D15" s="161"/>
      <c r="E15" s="161"/>
      <c r="F15" s="161"/>
      <c r="G15" s="161"/>
      <c r="H15" s="162"/>
      <c r="J15" s="160"/>
      <c r="K15" s="161"/>
      <c r="L15" s="161"/>
      <c r="M15" s="161"/>
      <c r="N15" s="161"/>
      <c r="O15" s="161"/>
      <c r="Q15" s="161"/>
      <c r="R15" s="161"/>
      <c r="S15" s="161"/>
      <c r="T15" s="161"/>
      <c r="U15" s="161"/>
      <c r="V15" s="162"/>
    </row>
    <row r="16" spans="2:22">
      <c r="B16" s="160"/>
      <c r="C16" s="161"/>
      <c r="D16" s="161"/>
      <c r="E16" s="161"/>
      <c r="F16" s="161"/>
      <c r="G16" s="161"/>
      <c r="H16" s="162"/>
      <c r="J16" s="160"/>
      <c r="K16" s="161"/>
      <c r="L16" s="161"/>
      <c r="M16" s="161"/>
      <c r="N16" s="161"/>
      <c r="O16" s="161"/>
      <c r="Q16" s="161"/>
      <c r="R16" s="161"/>
      <c r="S16" s="161"/>
      <c r="T16" s="161"/>
      <c r="U16" s="161"/>
      <c r="V16" s="162"/>
    </row>
    <row r="17" spans="2:22">
      <c r="B17" s="160"/>
      <c r="C17" s="161"/>
      <c r="D17" s="161"/>
      <c r="E17" s="161"/>
      <c r="F17" s="161"/>
      <c r="G17" s="161"/>
      <c r="H17" s="162"/>
      <c r="J17" s="160"/>
      <c r="K17" s="161"/>
      <c r="L17" s="161"/>
      <c r="M17" s="161"/>
      <c r="N17" s="161"/>
      <c r="O17" s="161"/>
      <c r="Q17" s="161"/>
      <c r="R17" s="161"/>
      <c r="S17" s="161"/>
      <c r="T17" s="161"/>
      <c r="U17" s="161"/>
      <c r="V17" s="162"/>
    </row>
    <row r="18" spans="2:22">
      <c r="B18" s="160"/>
      <c r="C18" s="161"/>
      <c r="D18" s="161"/>
      <c r="E18" s="161"/>
      <c r="F18" s="161"/>
      <c r="G18" s="161"/>
      <c r="H18" s="162"/>
      <c r="J18" s="160"/>
      <c r="K18" s="161"/>
      <c r="L18" s="161"/>
      <c r="M18" s="161"/>
      <c r="N18" s="161"/>
      <c r="O18" s="161"/>
      <c r="Q18" s="161"/>
      <c r="R18" s="161"/>
      <c r="S18" s="161"/>
      <c r="T18" s="161"/>
      <c r="U18" s="161"/>
      <c r="V18" s="162"/>
    </row>
    <row r="19" spans="2:22">
      <c r="B19" s="160"/>
      <c r="C19" s="161"/>
      <c r="D19" s="161"/>
      <c r="E19" s="161"/>
      <c r="F19" s="161"/>
      <c r="G19" s="161"/>
      <c r="H19" s="162"/>
      <c r="J19" s="160"/>
      <c r="K19" s="161"/>
      <c r="L19" s="161"/>
      <c r="M19" s="161"/>
      <c r="N19" s="161"/>
      <c r="O19" s="161"/>
      <c r="Q19" s="161"/>
      <c r="R19" s="161"/>
      <c r="S19" s="161"/>
      <c r="T19" s="161"/>
      <c r="U19" s="161"/>
      <c r="V19" s="162"/>
    </row>
    <row r="20" spans="2:22">
      <c r="B20" s="160"/>
      <c r="C20" s="161"/>
      <c r="D20" s="161"/>
      <c r="E20" s="161"/>
      <c r="F20" s="161"/>
      <c r="G20" s="161"/>
      <c r="H20" s="162"/>
      <c r="J20" s="160"/>
      <c r="K20" s="161"/>
      <c r="L20" s="161"/>
      <c r="M20" s="161"/>
      <c r="N20" s="161"/>
      <c r="O20" s="161"/>
      <c r="Q20" s="161"/>
      <c r="R20" s="161"/>
      <c r="S20" s="161"/>
      <c r="T20" s="161"/>
      <c r="U20" s="161"/>
      <c r="V20" s="162"/>
    </row>
    <row r="21" spans="2:22">
      <c r="B21" s="160"/>
      <c r="C21" s="161"/>
      <c r="D21" s="161"/>
      <c r="E21" s="161"/>
      <c r="F21" s="161"/>
      <c r="G21" s="161"/>
      <c r="H21" s="162"/>
      <c r="J21" s="160"/>
      <c r="K21" s="161"/>
      <c r="L21" s="161"/>
      <c r="M21" s="161"/>
      <c r="N21" s="161"/>
      <c r="O21" s="161"/>
      <c r="Q21" s="161"/>
      <c r="R21" s="161"/>
      <c r="S21" s="161"/>
      <c r="T21" s="161"/>
      <c r="U21" s="161"/>
      <c r="V21" s="162"/>
    </row>
    <row r="22" spans="2:22">
      <c r="B22" s="160"/>
      <c r="C22" s="161"/>
      <c r="D22" s="161"/>
      <c r="E22" s="161"/>
      <c r="F22" s="161"/>
      <c r="G22" s="161"/>
      <c r="H22" s="162"/>
      <c r="J22" s="160"/>
      <c r="K22" s="161"/>
      <c r="L22" s="161"/>
      <c r="M22" s="161"/>
      <c r="N22" s="161"/>
      <c r="O22" s="161"/>
      <c r="Q22" s="161"/>
      <c r="R22" s="161"/>
      <c r="S22" s="161"/>
      <c r="T22" s="161"/>
      <c r="U22" s="161"/>
      <c r="V22" s="162"/>
    </row>
    <row r="23" spans="2:22">
      <c r="B23" s="160"/>
      <c r="C23" s="161"/>
      <c r="D23" s="161"/>
      <c r="E23" s="161"/>
      <c r="F23" s="161"/>
      <c r="G23" s="161"/>
      <c r="H23" s="162"/>
      <c r="J23" s="160"/>
      <c r="K23" s="161"/>
      <c r="L23" s="161"/>
      <c r="M23" s="161"/>
      <c r="N23" s="161"/>
      <c r="O23" s="161"/>
      <c r="V23" s="162"/>
    </row>
    <row r="24" spans="2:22">
      <c r="B24" s="160"/>
      <c r="C24" s="161"/>
      <c r="D24" s="161"/>
      <c r="E24" s="161"/>
      <c r="F24" s="161"/>
      <c r="G24" s="161"/>
      <c r="H24" s="162"/>
      <c r="J24" s="160"/>
      <c r="K24" s="161"/>
      <c r="L24" s="161"/>
      <c r="M24" s="161"/>
      <c r="N24" s="161"/>
      <c r="O24" s="161"/>
      <c r="V24" s="162"/>
    </row>
    <row r="25" spans="2:22">
      <c r="B25" s="160"/>
      <c r="C25" s="161"/>
      <c r="D25" s="161"/>
      <c r="E25" s="161"/>
      <c r="F25" s="161"/>
      <c r="G25" s="161"/>
      <c r="H25" s="162"/>
      <c r="J25" s="160"/>
      <c r="K25" s="161"/>
      <c r="L25" s="161"/>
      <c r="M25" s="161"/>
      <c r="N25" s="161"/>
      <c r="O25" s="161"/>
      <c r="V25" s="162"/>
    </row>
    <row r="26" spans="2:22">
      <c r="B26" s="160"/>
      <c r="C26" s="161"/>
      <c r="D26" s="161"/>
      <c r="E26" s="161"/>
      <c r="F26" s="161"/>
      <c r="G26" s="161"/>
      <c r="H26" s="162"/>
      <c r="J26" s="160"/>
      <c r="K26" s="161"/>
      <c r="L26" s="161"/>
      <c r="M26" s="161"/>
      <c r="N26" s="161"/>
      <c r="O26" s="161"/>
      <c r="V26" s="162"/>
    </row>
    <row r="27" spans="2:22">
      <c r="B27" s="160"/>
      <c r="C27" s="161"/>
      <c r="D27" s="161"/>
      <c r="E27" s="161"/>
      <c r="F27" s="161"/>
      <c r="G27" s="161"/>
      <c r="H27" s="162"/>
      <c r="J27" s="160"/>
      <c r="K27" s="161"/>
      <c r="L27" s="161"/>
      <c r="M27" s="161"/>
      <c r="N27" s="161"/>
      <c r="O27" s="161"/>
      <c r="V27" s="162"/>
    </row>
    <row r="28" spans="2:22">
      <c r="B28" s="160"/>
      <c r="C28" s="161"/>
      <c r="D28" s="161"/>
      <c r="E28" s="161"/>
      <c r="F28" s="161"/>
      <c r="G28" s="161"/>
      <c r="H28" s="162"/>
      <c r="J28" s="160"/>
      <c r="K28" s="161"/>
      <c r="L28" s="161"/>
      <c r="M28" s="161"/>
      <c r="N28" s="161"/>
      <c r="O28" s="161"/>
      <c r="V28" s="162"/>
    </row>
    <row r="29" spans="2:22">
      <c r="B29" s="160"/>
      <c r="C29" s="161"/>
      <c r="D29" s="161"/>
      <c r="E29" s="161"/>
      <c r="F29" s="161"/>
      <c r="G29" s="161"/>
      <c r="H29" s="162"/>
      <c r="J29" s="160"/>
      <c r="K29" s="161"/>
      <c r="L29" s="161"/>
      <c r="M29" s="161"/>
      <c r="N29" s="161"/>
      <c r="O29" s="161"/>
      <c r="V29" s="162"/>
    </row>
    <row r="30" spans="2:22">
      <c r="B30" s="160"/>
      <c r="C30" s="161"/>
      <c r="D30" s="161"/>
      <c r="E30" s="161"/>
      <c r="F30" s="161"/>
      <c r="G30" s="161"/>
      <c r="H30" s="162"/>
      <c r="J30" s="160"/>
      <c r="K30" s="161"/>
      <c r="L30" s="161"/>
      <c r="M30" s="161"/>
      <c r="N30" s="161"/>
      <c r="O30" s="161"/>
      <c r="V30" s="162"/>
    </row>
    <row r="31" spans="2:22">
      <c r="B31" s="160"/>
      <c r="C31" s="161"/>
      <c r="D31" s="161"/>
      <c r="E31" s="161"/>
      <c r="F31" s="161"/>
      <c r="G31" s="161"/>
      <c r="H31" s="162"/>
      <c r="J31" s="160"/>
      <c r="K31" s="161"/>
      <c r="L31" s="161"/>
      <c r="M31" s="161"/>
      <c r="N31" s="161"/>
      <c r="O31" s="161"/>
      <c r="V31" s="162"/>
    </row>
    <row r="32" spans="2:22">
      <c r="B32" s="160"/>
      <c r="C32" s="161"/>
      <c r="D32" s="161"/>
      <c r="E32" s="161"/>
      <c r="F32" s="161"/>
      <c r="G32" s="161"/>
      <c r="H32" s="162"/>
      <c r="J32" s="160"/>
      <c r="K32" s="161"/>
      <c r="L32" s="161"/>
      <c r="M32" s="161"/>
      <c r="N32" s="161"/>
      <c r="O32" s="161"/>
      <c r="V32" s="162"/>
    </row>
    <row r="33" spans="2:22">
      <c r="B33" s="160"/>
      <c r="C33" s="161"/>
      <c r="D33" s="161"/>
      <c r="E33" s="161"/>
      <c r="F33" s="161"/>
      <c r="G33" s="161"/>
      <c r="H33" s="162"/>
      <c r="J33" s="160"/>
      <c r="K33" s="161"/>
      <c r="L33" s="161"/>
      <c r="M33" s="161"/>
      <c r="N33" s="161"/>
      <c r="O33" s="161"/>
      <c r="V33" s="162"/>
    </row>
    <row r="34" spans="2:22">
      <c r="B34" s="160"/>
      <c r="C34" s="161"/>
      <c r="D34" s="161"/>
      <c r="E34" s="161"/>
      <c r="F34" s="161"/>
      <c r="G34" s="161"/>
      <c r="H34" s="162"/>
      <c r="J34" s="160"/>
      <c r="K34" s="161"/>
      <c r="L34" s="161"/>
      <c r="M34" s="161"/>
      <c r="N34" s="161"/>
      <c r="O34" s="161"/>
      <c r="V34" s="162"/>
    </row>
    <row r="35" spans="2:22">
      <c r="B35" s="160"/>
      <c r="C35" s="161"/>
      <c r="D35" s="161"/>
      <c r="E35" s="161"/>
      <c r="F35" s="161"/>
      <c r="G35" s="161"/>
      <c r="H35" s="162"/>
      <c r="J35" s="160"/>
      <c r="V35" s="162"/>
    </row>
    <row r="36" spans="2:22">
      <c r="B36" s="160"/>
      <c r="C36" s="161"/>
      <c r="D36" s="161"/>
      <c r="E36" s="161"/>
      <c r="F36" s="161"/>
      <c r="G36" s="161"/>
      <c r="H36" s="162"/>
      <c r="J36" s="163"/>
      <c r="K36" s="164"/>
      <c r="L36" s="164"/>
      <c r="M36" s="164"/>
      <c r="N36" s="164"/>
      <c r="O36" s="164"/>
      <c r="P36" s="164"/>
      <c r="Q36" s="164"/>
      <c r="R36" s="164"/>
      <c r="S36" s="164"/>
      <c r="T36" s="164"/>
      <c r="U36" s="164"/>
      <c r="V36" s="165"/>
    </row>
    <row r="37" spans="2:22">
      <c r="B37" s="160"/>
      <c r="C37" s="161"/>
      <c r="D37" s="161"/>
      <c r="E37" s="161"/>
      <c r="F37" s="161"/>
      <c r="G37" s="161"/>
      <c r="H37" s="162"/>
    </row>
    <row r="38" spans="2:22">
      <c r="B38" s="160"/>
      <c r="C38" s="161"/>
      <c r="D38" s="161"/>
      <c r="E38" s="161"/>
      <c r="F38" s="161"/>
      <c r="G38" s="161"/>
      <c r="H38" s="162"/>
    </row>
    <row r="39" spans="2:22">
      <c r="B39" s="160"/>
      <c r="C39" s="161"/>
      <c r="D39" s="161"/>
      <c r="E39" s="161"/>
      <c r="F39" s="161"/>
      <c r="G39" s="161"/>
      <c r="H39" s="162"/>
    </row>
    <row r="40" spans="2:22">
      <c r="B40" s="160"/>
      <c r="C40" s="161"/>
      <c r="D40" s="161"/>
      <c r="E40" s="161"/>
      <c r="F40" s="161"/>
      <c r="G40" s="161"/>
      <c r="H40" s="162"/>
    </row>
    <row r="41" spans="2:22">
      <c r="B41" s="160"/>
      <c r="C41" s="161"/>
      <c r="D41" s="161"/>
      <c r="E41" s="161"/>
      <c r="F41" s="161"/>
      <c r="G41" s="161"/>
      <c r="H41" s="162"/>
    </row>
    <row r="42" spans="2:22">
      <c r="B42" s="163"/>
      <c r="C42" s="164"/>
      <c r="D42" s="164"/>
      <c r="E42" s="164"/>
      <c r="F42" s="164"/>
      <c r="G42" s="164"/>
      <c r="H42" s="165"/>
    </row>
  </sheetData>
  <sheetProtection sheet="1" objects="1" scenarios="1" selectLockedCells="1" selectUnlockedCells="1"/>
  <pageMargins left="0.75" right="0.5" top="1" bottom="1" header="0.5" footer="0.5"/>
  <pageSetup scale="65" orientation="landscape" horizontalDpi="4294967293" verticalDpi="4294967293"/>
  <headerFooter alignWithMargins="0">
    <oddFooter>&amp;L&amp;F &amp;A&amp;R&amp;D  &amp;T</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H1:J1"/>
  <sheetViews>
    <sheetView showGridLines="0" showRowColHeaders="0" zoomScale="80" zoomScaleNormal="80" zoomScalePageLayoutView="80" workbookViewId="0">
      <selection activeCell="B4" sqref="B4"/>
    </sheetView>
  </sheetViews>
  <sheetFormatPr baseColWidth="10" defaultColWidth="8.83203125" defaultRowHeight="17" x14ac:dyDescent="0"/>
  <cols>
    <col min="1" max="1" width="5.83203125" style="91" customWidth="1"/>
    <col min="2" max="2" width="60.83203125" style="91" customWidth="1"/>
    <col min="3" max="3" width="5.83203125" style="91" customWidth="1"/>
    <col min="4" max="7" width="12.6640625" style="91" customWidth="1"/>
    <col min="8" max="8" width="4.33203125" style="91" customWidth="1"/>
    <col min="9" max="10" width="4.1640625" style="91" customWidth="1"/>
    <col min="11" max="12" width="12.83203125" style="91" customWidth="1"/>
    <col min="13" max="15" width="12.6640625" style="91" customWidth="1"/>
    <col min="16" max="16" width="4.33203125" style="91" customWidth="1"/>
    <col min="17" max="20" width="12.6640625" style="91" customWidth="1"/>
    <col min="21" max="21" width="12.83203125" style="91" customWidth="1"/>
    <col min="22" max="22" width="4.33203125" style="91" customWidth="1"/>
    <col min="23" max="23" width="12.83203125" style="91" customWidth="1"/>
    <col min="24" max="16384" width="8.83203125" style="91"/>
  </cols>
  <sheetData>
    <row r="1" spans="8:10" ht="100" customHeight="1">
      <c r="H1" s="90"/>
      <c r="I1" s="90"/>
      <c r="J1" s="90"/>
    </row>
  </sheetData>
  <sheetProtection sheet="1" objects="1" scenarios="1" selectLockedCells="1" selectUnlockedCells="1"/>
  <pageMargins left="0.75" right="0.5" top="1" bottom="1" header="0.5" footer="0.5"/>
  <pageSetup scale="65" orientation="landscape" horizontalDpi="4294967293" verticalDpi="4294967293"/>
  <headerFooter alignWithMargins="0">
    <oddFooter>&amp;L&amp;F &amp;A&amp;R&amp;D  &amp;T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G1"/>
  <sheetViews>
    <sheetView showGridLines="0" showRowColHeaders="0" zoomScale="80" zoomScaleNormal="80" zoomScalePageLayoutView="80" workbookViewId="0">
      <selection activeCell="B4" sqref="B4"/>
    </sheetView>
  </sheetViews>
  <sheetFormatPr baseColWidth="10" defaultColWidth="8.83203125" defaultRowHeight="17" x14ac:dyDescent="0"/>
  <cols>
    <col min="1" max="1" width="5.83203125" style="91" customWidth="1"/>
    <col min="2" max="2" width="8.83203125" style="91"/>
    <col min="3" max="3" width="34.6640625" style="91" customWidth="1"/>
    <col min="4" max="4" width="25.6640625" style="91" customWidth="1"/>
    <col min="5" max="5" width="34.83203125" style="91" customWidth="1"/>
    <col min="6" max="6" width="8.83203125" style="91"/>
    <col min="7" max="7" width="120.6640625" style="91" customWidth="1"/>
    <col min="8" max="8" width="4.6640625" style="91" customWidth="1"/>
    <col min="9" max="9" width="70.83203125" style="91" customWidth="1"/>
    <col min="10" max="17" width="12.6640625" style="91" customWidth="1"/>
    <col min="18" max="16384" width="8.83203125" style="91"/>
  </cols>
  <sheetData>
    <row r="1" spans="7:7" ht="100" customHeight="1">
      <c r="G1" s="90"/>
    </row>
  </sheetData>
  <sheetProtection sheet="1" objects="1" scenarios="1" selectLockedCells="1" selectUnlockedCells="1"/>
  <pageMargins left="0.75" right="0.5" top="1" bottom="1" header="0.5" footer="0.5"/>
  <pageSetup scale="65" orientation="landscape" horizontalDpi="4294967293" verticalDpi="4294967293"/>
  <headerFooter alignWithMargins="0">
    <oddFooter>&amp;L&amp;F &amp;A&amp;R&amp;D  &amp;T</oddFooter>
  </headerFooter>
  <colBreaks count="1" manualBreakCount="1">
    <brk id="12" max="1048575" man="1"/>
  </colBreaks>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B1:B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87" customWidth="1"/>
    <col min="2" max="2" width="120.83203125" style="87" customWidth="1"/>
    <col min="3" max="8" width="6" style="87" customWidth="1"/>
    <col min="9" max="9" width="3.6640625" style="87" customWidth="1"/>
    <col min="10" max="16384" width="8.83203125" style="87"/>
  </cols>
  <sheetData>
    <row r="1" spans="2:2" ht="100" customHeight="1">
      <c r="B1" s="88"/>
    </row>
    <row r="3" spans="2:2" ht="12.75" customHeight="1"/>
    <row r="5" spans="2:2" ht="12.75" customHeight="1"/>
    <row r="6" spans="2:2" ht="12.75" customHeight="1"/>
    <row r="7" spans="2:2" ht="12.75" customHeight="1">
      <c r="B7" s="89"/>
    </row>
    <row r="8" spans="2:2" ht="12.75" customHeight="1"/>
    <row r="9" spans="2:2" ht="12.75" customHeight="1"/>
    <row r="10" spans="2:2" ht="12.75" customHeight="1"/>
    <row r="11" spans="2:2" ht="12.75" customHeight="1"/>
    <row r="12" spans="2:2" ht="12.75" customHeight="1"/>
    <row r="13" spans="2:2" ht="12.75" customHeight="1"/>
    <row r="14" spans="2:2" ht="12.75" customHeight="1"/>
    <row r="15" spans="2:2" ht="12.75" customHeight="1"/>
    <row r="16" spans="2: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showGridLines="0" showRowColHeaders="0" zoomScale="80" zoomScaleNormal="80" zoomScalePageLayoutView="80" workbookViewId="0">
      <selection activeCell="B3" sqref="B3"/>
    </sheetView>
  </sheetViews>
  <sheetFormatPr baseColWidth="10" defaultColWidth="8.83203125" defaultRowHeight="13" x14ac:dyDescent="0"/>
  <cols>
    <col min="1" max="1" width="5.83203125" style="69" customWidth="1"/>
    <col min="2" max="2" width="62.83203125" style="67" customWidth="1"/>
    <col min="3" max="3" width="28.83203125" style="67" customWidth="1"/>
    <col min="4" max="4" width="7.83203125" style="75" customWidth="1"/>
    <col min="5" max="5" width="62.83203125" style="67" customWidth="1"/>
    <col min="6" max="6" width="28.83203125" style="67" customWidth="1"/>
    <col min="7" max="16384" width="8.83203125" style="69"/>
  </cols>
  <sheetData>
    <row r="1" spans="2:6" ht="100" customHeight="1">
      <c r="D1" s="68"/>
    </row>
    <row r="2" spans="2:6" ht="24" customHeight="1">
      <c r="B2" s="70" t="s">
        <v>153</v>
      </c>
      <c r="C2" s="70" t="s">
        <v>154</v>
      </c>
      <c r="D2" s="68"/>
      <c r="E2" s="70" t="s">
        <v>155</v>
      </c>
      <c r="F2" s="70" t="s">
        <v>156</v>
      </c>
    </row>
    <row r="3" spans="2:6" ht="26" customHeight="1">
      <c r="B3" s="71" t="s">
        <v>157</v>
      </c>
      <c r="C3" s="72">
        <v>100</v>
      </c>
      <c r="D3" s="68"/>
      <c r="E3" s="71" t="s">
        <v>158</v>
      </c>
      <c r="F3" s="72">
        <v>100</v>
      </c>
    </row>
    <row r="4" spans="2:6" ht="26" customHeight="1">
      <c r="B4" s="71" t="s">
        <v>159</v>
      </c>
      <c r="C4" s="72">
        <v>0</v>
      </c>
      <c r="D4" s="68"/>
      <c r="E4" s="71" t="s">
        <v>160</v>
      </c>
      <c r="F4" s="72">
        <v>0</v>
      </c>
    </row>
    <row r="5" spans="2:6" ht="26" customHeight="1">
      <c r="B5" s="71" t="s">
        <v>161</v>
      </c>
      <c r="C5" s="72">
        <v>0</v>
      </c>
      <c r="D5" s="68"/>
      <c r="E5" s="71" t="s">
        <v>162</v>
      </c>
      <c r="F5" s="72">
        <v>0</v>
      </c>
    </row>
    <row r="6" spans="2:6" ht="26" customHeight="1">
      <c r="B6" s="71" t="s">
        <v>163</v>
      </c>
      <c r="C6" s="72">
        <v>0</v>
      </c>
      <c r="D6" s="68"/>
      <c r="E6" s="71" t="s">
        <v>164</v>
      </c>
      <c r="F6" s="72">
        <v>0</v>
      </c>
    </row>
    <row r="7" spans="2:6" ht="26" customHeight="1">
      <c r="B7" s="71" t="s">
        <v>165</v>
      </c>
      <c r="C7" s="72">
        <v>0</v>
      </c>
      <c r="D7" s="68"/>
      <c r="E7" s="71" t="s">
        <v>166</v>
      </c>
      <c r="F7" s="72">
        <v>0</v>
      </c>
    </row>
    <row r="8" spans="2:6" ht="26" customHeight="1">
      <c r="B8" s="71" t="s">
        <v>167</v>
      </c>
      <c r="C8" s="72">
        <v>0</v>
      </c>
      <c r="D8" s="68"/>
      <c r="E8" s="71" t="s">
        <v>168</v>
      </c>
      <c r="F8" s="72">
        <v>0</v>
      </c>
    </row>
    <row r="9" spans="2:6" ht="26" customHeight="1">
      <c r="B9" s="71" t="s">
        <v>169</v>
      </c>
      <c r="C9" s="72">
        <v>0</v>
      </c>
      <c r="D9" s="68"/>
      <c r="E9" s="71" t="s">
        <v>170</v>
      </c>
      <c r="F9" s="72">
        <v>0</v>
      </c>
    </row>
    <row r="10" spans="2:6" ht="26" customHeight="1">
      <c r="B10" s="71" t="s">
        <v>171</v>
      </c>
      <c r="C10" s="72">
        <v>0</v>
      </c>
      <c r="D10" s="68"/>
      <c r="E10" s="71" t="s">
        <v>63</v>
      </c>
      <c r="F10" s="72">
        <v>0</v>
      </c>
    </row>
    <row r="11" spans="2:6" ht="26" customHeight="1">
      <c r="B11" s="71" t="s">
        <v>172</v>
      </c>
      <c r="C11" s="72">
        <v>0</v>
      </c>
      <c r="D11" s="68"/>
      <c r="E11" s="71" t="s">
        <v>173</v>
      </c>
      <c r="F11" s="72">
        <v>0</v>
      </c>
    </row>
    <row r="12" spans="2:6" ht="26" customHeight="1">
      <c r="B12" s="71" t="s">
        <v>174</v>
      </c>
      <c r="C12" s="72">
        <v>0</v>
      </c>
      <c r="D12" s="68"/>
      <c r="E12" s="71" t="s">
        <v>175</v>
      </c>
      <c r="F12" s="72">
        <v>0</v>
      </c>
    </row>
    <row r="13" spans="2:6" ht="26" customHeight="1">
      <c r="B13" s="71" t="s">
        <v>176</v>
      </c>
      <c r="C13" s="72">
        <v>0</v>
      </c>
      <c r="D13" s="68"/>
      <c r="E13" s="71" t="s">
        <v>177</v>
      </c>
      <c r="F13" s="72">
        <v>0</v>
      </c>
    </row>
    <row r="14" spans="2:6" ht="26" customHeight="1">
      <c r="B14" s="71" t="s">
        <v>178</v>
      </c>
      <c r="C14" s="72">
        <v>0</v>
      </c>
      <c r="D14" s="68"/>
      <c r="E14" s="71" t="s">
        <v>179</v>
      </c>
      <c r="F14" s="72">
        <v>0</v>
      </c>
    </row>
    <row r="15" spans="2:6" ht="26" customHeight="1">
      <c r="B15" s="71" t="s">
        <v>180</v>
      </c>
      <c r="C15" s="72">
        <v>0</v>
      </c>
      <c r="D15" s="68"/>
      <c r="E15" s="71" t="s">
        <v>181</v>
      </c>
      <c r="F15" s="72">
        <v>0</v>
      </c>
    </row>
    <row r="16" spans="2:6" ht="26" customHeight="1">
      <c r="B16" s="71" t="s">
        <v>182</v>
      </c>
      <c r="C16" s="72">
        <v>0</v>
      </c>
      <c r="D16" s="68"/>
      <c r="E16" s="71" t="s">
        <v>183</v>
      </c>
      <c r="F16" s="72">
        <v>0</v>
      </c>
    </row>
    <row r="17" spans="2:6" ht="26" customHeight="1">
      <c r="B17" s="71" t="s">
        <v>184</v>
      </c>
      <c r="C17" s="72">
        <v>0</v>
      </c>
      <c r="D17" s="68"/>
      <c r="E17" s="71" t="s">
        <v>185</v>
      </c>
      <c r="F17" s="72">
        <v>0</v>
      </c>
    </row>
    <row r="18" spans="2:6" ht="26" customHeight="1">
      <c r="B18" s="71" t="s">
        <v>186</v>
      </c>
      <c r="C18" s="72">
        <v>0</v>
      </c>
      <c r="D18" s="68"/>
      <c r="E18" s="71" t="s">
        <v>187</v>
      </c>
      <c r="F18" s="72">
        <v>0</v>
      </c>
    </row>
    <row r="19" spans="2:6" ht="26" customHeight="1">
      <c r="B19" s="71" t="s">
        <v>188</v>
      </c>
      <c r="C19" s="72">
        <v>0</v>
      </c>
      <c r="D19" s="68"/>
      <c r="E19" s="71" t="s">
        <v>189</v>
      </c>
      <c r="F19" s="72">
        <v>0</v>
      </c>
    </row>
    <row r="20" spans="2:6" ht="26" customHeight="1">
      <c r="B20" s="71" t="s">
        <v>190</v>
      </c>
      <c r="C20" s="72">
        <v>0</v>
      </c>
      <c r="D20" s="68"/>
      <c r="E20" s="71" t="s">
        <v>191</v>
      </c>
      <c r="F20" s="72">
        <v>0</v>
      </c>
    </row>
    <row r="21" spans="2:6" ht="35">
      <c r="B21" s="73" t="s">
        <v>14</v>
      </c>
      <c r="C21" s="74">
        <f>SUM(C3:C20)</f>
        <v>100</v>
      </c>
      <c r="D21" s="68"/>
      <c r="E21" s="73" t="s">
        <v>14</v>
      </c>
      <c r="F21" s="74">
        <f>SUM(F3:F20)</f>
        <v>100</v>
      </c>
    </row>
  </sheetData>
  <sheetProtection sheet="1" objects="1" scenarios="1" selectLockedCells="1"/>
  <phoneticPr fontId="26" type="noConversion"/>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Cover</vt:lpstr>
      <vt:lpstr>Home</vt:lpstr>
      <vt:lpstr>Rules</vt:lpstr>
      <vt:lpstr>Statements</vt:lpstr>
      <vt:lpstr>Cash</vt:lpstr>
      <vt:lpstr>Ratios</vt:lpstr>
      <vt:lpstr>COA</vt:lpstr>
      <vt:lpstr>Breakeven</vt:lpstr>
      <vt:lpstr>BE2</vt:lpstr>
      <vt:lpstr>BE3</vt:lpstr>
      <vt:lpstr>Control</vt:lpstr>
      <vt:lpstr>Para</vt:lpstr>
      <vt:lpstr>Vol</vt:lpstr>
      <vt:lpstr>OH</vt:lpstr>
      <vt:lpstr>Bal</vt:lpstr>
      <vt:lpstr>Inc</vt:lpstr>
      <vt:lpstr>CF</vt:lpstr>
      <vt:lpstr>Print</vt:lpstr>
      <vt:lpstr>ROI</vt:lpstr>
      <vt:lpstr>Payback</vt:lpstr>
      <vt:lpstr>NPV</vt:lpstr>
      <vt:lpstr>Plan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Connaughton</cp:lastModifiedBy>
  <cp:lastPrinted>2018-04-17T20:09:55Z</cp:lastPrinted>
  <dcterms:created xsi:type="dcterms:W3CDTF">2008-11-16T14:36:34Z</dcterms:created>
  <dcterms:modified xsi:type="dcterms:W3CDTF">2018-05-04T13:07:07Z</dcterms:modified>
</cp:coreProperties>
</file>