
<file path=[Content_Types].xml><?xml version="1.0" encoding="utf-8"?>
<Types xmlns="http://schemas.openxmlformats.org/package/2006/content-types">
  <Default Extension="xml" ContentType="application/xml"/>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codeName="ThisWorkbook" autoCompressPictures="0"/>
  <bookViews>
    <workbookView xWindow="21220" yWindow="2520" windowWidth="25600" windowHeight="16060"/>
  </bookViews>
  <sheets>
    <sheet name="Cover" sheetId="11" r:id="rId1"/>
    <sheet name="Home" sheetId="8" r:id="rId2"/>
    <sheet name="Para" sheetId="1" r:id="rId3"/>
    <sheet name="Vol" sheetId="2" r:id="rId4"/>
    <sheet name="Bal" sheetId="5" r:id="rId5"/>
    <sheet name="Inc" sheetId="4" r:id="rId6"/>
    <sheet name="CF" sheetId="6" r:id="rId7"/>
    <sheet name="Print" sheetId="9" r:id="rId8"/>
  </sheets>
  <definedNames>
    <definedName name="Discount">#REF!</definedName>
    <definedName name="Mo">Para!$E$10</definedName>
    <definedName name="Mos">Para!$AJ$3:$AJ$17</definedName>
    <definedName name="Price">#REF!</definedName>
    <definedName name="_xlnm.Print_Area" localSheetId="7">Print!$A$2:$G$111</definedName>
    <definedName name="Risk">#REF!</definedName>
    <definedName name="SAPBEXrevision" hidden="1">1</definedName>
    <definedName name="SAPBEXsysID" hidden="1">"BWP"</definedName>
    <definedName name="SAPBEXwbID" hidden="1">"3V0A6S4303X13TNHNF8L4AXTR"</definedName>
    <definedName name="TaxRate">Para!$E$12</definedName>
    <definedName name="Volume">#REF!</definedName>
    <definedName name="Yr_1">Para!$E$9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25" i="5" l="1"/>
  <c r="D25" i="5"/>
  <c r="E25" i="5"/>
  <c r="F25" i="5"/>
  <c r="G25" i="5"/>
  <c r="H25" i="5"/>
  <c r="I25" i="5"/>
  <c r="J25" i="5"/>
  <c r="K25" i="5"/>
  <c r="L25" i="5"/>
  <c r="M25" i="5"/>
  <c r="N25" i="5"/>
  <c r="O25" i="5"/>
  <c r="P25" i="5"/>
  <c r="Q25" i="5"/>
  <c r="P18" i="4"/>
  <c r="R25" i="5"/>
  <c r="Q18" i="4"/>
  <c r="S25" i="5"/>
  <c r="R18" i="4"/>
  <c r="T25" i="5"/>
  <c r="S18" i="4"/>
  <c r="U25" i="5"/>
  <c r="T18" i="4"/>
  <c r="V25" i="5"/>
  <c r="U18" i="4"/>
  <c r="F18" i="4"/>
  <c r="G18" i="4"/>
  <c r="H18" i="4"/>
  <c r="I18" i="4"/>
  <c r="J18" i="4"/>
  <c r="K18" i="4"/>
  <c r="L18" i="4"/>
  <c r="M18" i="4"/>
  <c r="N18" i="4"/>
  <c r="O18" i="4"/>
  <c r="B18" i="4"/>
  <c r="C18" i="4"/>
  <c r="D18" i="4"/>
  <c r="E18" i="4"/>
  <c r="B26" i="1"/>
  <c r="B25" i="1"/>
  <c r="B24" i="1"/>
  <c r="B23" i="1"/>
  <c r="B22" i="1"/>
  <c r="B21" i="1"/>
  <c r="B20" i="1"/>
  <c r="B19" i="1"/>
  <c r="B18" i="1"/>
  <c r="B17" i="1"/>
  <c r="B16" i="1"/>
  <c r="B15" i="1"/>
  <c r="B14" i="1"/>
  <c r="B13" i="1"/>
  <c r="B12" i="1"/>
  <c r="B11" i="1"/>
  <c r="B10" i="1"/>
  <c r="B9" i="1"/>
  <c r="B8" i="1"/>
  <c r="B7" i="1"/>
  <c r="C12" i="5"/>
  <c r="B9" i="4"/>
  <c r="C15" i="5"/>
  <c r="D12" i="5"/>
  <c r="C9" i="4"/>
  <c r="E12" i="5"/>
  <c r="D9" i="4"/>
  <c r="F12" i="5"/>
  <c r="E9" i="4"/>
  <c r="G12" i="5"/>
  <c r="F9" i="4"/>
  <c r="H12" i="5"/>
  <c r="G9" i="4"/>
  <c r="I12" i="5"/>
  <c r="H9" i="4"/>
  <c r="J12" i="5"/>
  <c r="I9" i="4"/>
  <c r="K12" i="5"/>
  <c r="J9" i="4"/>
  <c r="L12" i="5"/>
  <c r="K9" i="4"/>
  <c r="M12" i="5"/>
  <c r="L9" i="4"/>
  <c r="N12" i="5"/>
  <c r="M9" i="4"/>
  <c r="O12" i="5"/>
  <c r="N9" i="4"/>
  <c r="P12" i="5"/>
  <c r="O9" i="4"/>
  <c r="Q12" i="5"/>
  <c r="P9" i="4"/>
  <c r="R12" i="5"/>
  <c r="Q9" i="4"/>
  <c r="S12" i="5"/>
  <c r="R9" i="4"/>
  <c r="T12" i="5"/>
  <c r="S9" i="4"/>
  <c r="U12" i="5"/>
  <c r="T9" i="4"/>
  <c r="V12" i="5"/>
  <c r="U9" i="4"/>
  <c r="C4" i="2"/>
  <c r="D4" i="2"/>
  <c r="E4" i="2"/>
  <c r="F4" i="2"/>
  <c r="F7" i="2"/>
  <c r="F6" i="4"/>
  <c r="F8" i="2"/>
  <c r="F7" i="4"/>
  <c r="F9" i="2"/>
  <c r="F8" i="4"/>
  <c r="F11" i="4"/>
  <c r="E18" i="1"/>
  <c r="G7" i="5"/>
  <c r="G4" i="2"/>
  <c r="G7" i="2"/>
  <c r="G6" i="4"/>
  <c r="G8" i="2"/>
  <c r="G7" i="4"/>
  <c r="G9" i="2"/>
  <c r="G8" i="4"/>
  <c r="G11" i="4"/>
  <c r="H7" i="5"/>
  <c r="H4" i="2"/>
  <c r="H7" i="2"/>
  <c r="H6" i="4"/>
  <c r="H8" i="2"/>
  <c r="H7" i="4"/>
  <c r="H9" i="2"/>
  <c r="H8" i="4"/>
  <c r="H11" i="4"/>
  <c r="I7" i="5"/>
  <c r="I4" i="2"/>
  <c r="I7" i="2"/>
  <c r="I6" i="4"/>
  <c r="I8" i="2"/>
  <c r="I7" i="4"/>
  <c r="I9" i="2"/>
  <c r="I8" i="4"/>
  <c r="I11" i="4"/>
  <c r="J7" i="5"/>
  <c r="J4" i="2"/>
  <c r="J7" i="2"/>
  <c r="J6" i="4"/>
  <c r="J8" i="2"/>
  <c r="J7" i="4"/>
  <c r="J9" i="2"/>
  <c r="J8" i="4"/>
  <c r="J11" i="4"/>
  <c r="K7" i="5"/>
  <c r="K4" i="2"/>
  <c r="K7" i="2"/>
  <c r="K6" i="4"/>
  <c r="K8" i="2"/>
  <c r="K7" i="4"/>
  <c r="K9" i="2"/>
  <c r="K8" i="4"/>
  <c r="K11" i="4"/>
  <c r="L7" i="5"/>
  <c r="L4" i="2"/>
  <c r="L7" i="2"/>
  <c r="L6" i="4"/>
  <c r="L8" i="2"/>
  <c r="L7" i="4"/>
  <c r="L9" i="2"/>
  <c r="L8" i="4"/>
  <c r="L11" i="4"/>
  <c r="M7" i="5"/>
  <c r="M4" i="2"/>
  <c r="M7" i="2"/>
  <c r="M6" i="4"/>
  <c r="M8" i="2"/>
  <c r="M7" i="4"/>
  <c r="M9" i="2"/>
  <c r="M8" i="4"/>
  <c r="M11" i="4"/>
  <c r="N7" i="5"/>
  <c r="N4" i="2"/>
  <c r="N7" i="2"/>
  <c r="N6" i="4"/>
  <c r="N8" i="2"/>
  <c r="N7" i="4"/>
  <c r="N9" i="2"/>
  <c r="N8" i="4"/>
  <c r="N11" i="4"/>
  <c r="O7" i="5"/>
  <c r="O4" i="2"/>
  <c r="O7" i="2"/>
  <c r="O6" i="4"/>
  <c r="O8" i="2"/>
  <c r="O7" i="4"/>
  <c r="O9" i="2"/>
  <c r="O8" i="4"/>
  <c r="O11" i="4"/>
  <c r="P7" i="5"/>
  <c r="P4" i="2"/>
  <c r="P7" i="2"/>
  <c r="P6" i="4"/>
  <c r="P8" i="2"/>
  <c r="P7" i="4"/>
  <c r="P9" i="2"/>
  <c r="P8" i="4"/>
  <c r="P11" i="4"/>
  <c r="Q7" i="5"/>
  <c r="Q4" i="2"/>
  <c r="Q7" i="2"/>
  <c r="Q6" i="4"/>
  <c r="Q8" i="2"/>
  <c r="Q7" i="4"/>
  <c r="Q9" i="2"/>
  <c r="Q8" i="4"/>
  <c r="Q11" i="4"/>
  <c r="R7" i="5"/>
  <c r="R4" i="2"/>
  <c r="R7" i="2"/>
  <c r="R6" i="4"/>
  <c r="R8" i="2"/>
  <c r="R7" i="4"/>
  <c r="R9" i="2"/>
  <c r="R8" i="4"/>
  <c r="R11" i="4"/>
  <c r="S7" i="5"/>
  <c r="S4" i="2"/>
  <c r="S7" i="2"/>
  <c r="S6" i="4"/>
  <c r="S8" i="2"/>
  <c r="S7" i="4"/>
  <c r="S9" i="2"/>
  <c r="S8" i="4"/>
  <c r="S11" i="4"/>
  <c r="T7" i="5"/>
  <c r="T4" i="2"/>
  <c r="T7" i="2"/>
  <c r="T6" i="4"/>
  <c r="T8" i="2"/>
  <c r="T7" i="4"/>
  <c r="T9" i="2"/>
  <c r="T8" i="4"/>
  <c r="T11" i="4"/>
  <c r="U7" i="5"/>
  <c r="U4" i="2"/>
  <c r="U7" i="2"/>
  <c r="U6" i="4"/>
  <c r="U8" i="2"/>
  <c r="U7" i="4"/>
  <c r="U9" i="2"/>
  <c r="U8" i="4"/>
  <c r="U11" i="4"/>
  <c r="V7" i="5"/>
  <c r="D7" i="2"/>
  <c r="D6" i="4"/>
  <c r="D8" i="2"/>
  <c r="D7" i="4"/>
  <c r="D9" i="2"/>
  <c r="D8" i="4"/>
  <c r="D11" i="4"/>
  <c r="E7" i="5"/>
  <c r="E7" i="2"/>
  <c r="E6" i="4"/>
  <c r="E8" i="2"/>
  <c r="E7" i="4"/>
  <c r="E9" i="2"/>
  <c r="E8" i="4"/>
  <c r="E11" i="4"/>
  <c r="F7" i="5"/>
  <c r="C7" i="2"/>
  <c r="C6" i="4"/>
  <c r="C8" i="2"/>
  <c r="C7" i="4"/>
  <c r="C9" i="2"/>
  <c r="C8" i="4"/>
  <c r="C11" i="4"/>
  <c r="D7" i="5"/>
  <c r="B7" i="2"/>
  <c r="B6" i="4"/>
  <c r="B8" i="2"/>
  <c r="B7" i="4"/>
  <c r="B9" i="2"/>
  <c r="B8" i="4"/>
  <c r="B11" i="4"/>
  <c r="C7" i="5"/>
  <c r="R6" i="2"/>
  <c r="R4" i="4"/>
  <c r="R12" i="4"/>
  <c r="R15" i="4"/>
  <c r="R16" i="4"/>
  <c r="R17" i="4"/>
  <c r="R19" i="4"/>
  <c r="R21" i="4"/>
  <c r="R23" i="4"/>
  <c r="E12" i="1"/>
  <c r="R26" i="4"/>
  <c r="S6" i="2"/>
  <c r="S4" i="4"/>
  <c r="S12" i="4"/>
  <c r="S15" i="4"/>
  <c r="S16" i="4"/>
  <c r="S17" i="4"/>
  <c r="S19" i="4"/>
  <c r="S21" i="4"/>
  <c r="S23" i="4"/>
  <c r="S26" i="4"/>
  <c r="T6" i="2"/>
  <c r="T4" i="4"/>
  <c r="T12" i="4"/>
  <c r="T15" i="4"/>
  <c r="T16" i="4"/>
  <c r="T17" i="4"/>
  <c r="T19" i="4"/>
  <c r="T21" i="4"/>
  <c r="T23" i="4"/>
  <c r="T26" i="4"/>
  <c r="U6" i="2"/>
  <c r="U4" i="4"/>
  <c r="U12" i="4"/>
  <c r="U15" i="4"/>
  <c r="U16" i="4"/>
  <c r="U17" i="4"/>
  <c r="U19" i="4"/>
  <c r="U21" i="4"/>
  <c r="U23" i="4"/>
  <c r="U26" i="4"/>
  <c r="F27" i="9"/>
  <c r="N6" i="2"/>
  <c r="N4" i="4"/>
  <c r="N12" i="4"/>
  <c r="N15" i="4"/>
  <c r="N16" i="4"/>
  <c r="N17" i="4"/>
  <c r="N19" i="4"/>
  <c r="N21" i="4"/>
  <c r="N23" i="4"/>
  <c r="N26" i="4"/>
  <c r="O6" i="2"/>
  <c r="O4" i="4"/>
  <c r="O12" i="4"/>
  <c r="O15" i="4"/>
  <c r="O16" i="4"/>
  <c r="O17" i="4"/>
  <c r="O19" i="4"/>
  <c r="O21" i="4"/>
  <c r="O23" i="4"/>
  <c r="O26" i="4"/>
  <c r="P6" i="2"/>
  <c r="P4" i="4"/>
  <c r="P12" i="4"/>
  <c r="P15" i="4"/>
  <c r="P16" i="4"/>
  <c r="P17" i="4"/>
  <c r="P19" i="4"/>
  <c r="P21" i="4"/>
  <c r="P23" i="4"/>
  <c r="P26" i="4"/>
  <c r="Q6" i="2"/>
  <c r="Q4" i="4"/>
  <c r="Q12" i="4"/>
  <c r="Q15" i="4"/>
  <c r="Q16" i="4"/>
  <c r="Q17" i="4"/>
  <c r="Q19" i="4"/>
  <c r="Q21" i="4"/>
  <c r="Q23" i="4"/>
  <c r="Q26" i="4"/>
  <c r="E27" i="9"/>
  <c r="J6" i="2"/>
  <c r="J4" i="4"/>
  <c r="J12" i="4"/>
  <c r="J15" i="4"/>
  <c r="J16" i="4"/>
  <c r="J17" i="4"/>
  <c r="J19" i="4"/>
  <c r="J21" i="4"/>
  <c r="J23" i="4"/>
  <c r="J26" i="4"/>
  <c r="K6" i="2"/>
  <c r="K4" i="4"/>
  <c r="K12" i="4"/>
  <c r="K15" i="4"/>
  <c r="K16" i="4"/>
  <c r="K17" i="4"/>
  <c r="K19" i="4"/>
  <c r="K21" i="4"/>
  <c r="K23" i="4"/>
  <c r="K26" i="4"/>
  <c r="L6" i="2"/>
  <c r="L4" i="4"/>
  <c r="L12" i="4"/>
  <c r="L15" i="4"/>
  <c r="L16" i="4"/>
  <c r="L17" i="4"/>
  <c r="L19" i="4"/>
  <c r="L21" i="4"/>
  <c r="L23" i="4"/>
  <c r="L26" i="4"/>
  <c r="M6" i="2"/>
  <c r="M4" i="4"/>
  <c r="M12" i="4"/>
  <c r="M15" i="4"/>
  <c r="M16" i="4"/>
  <c r="M17" i="4"/>
  <c r="M19" i="4"/>
  <c r="M21" i="4"/>
  <c r="M23" i="4"/>
  <c r="M26" i="4"/>
  <c r="D27" i="9"/>
  <c r="F6" i="2"/>
  <c r="F4" i="4"/>
  <c r="F12" i="4"/>
  <c r="F15" i="4"/>
  <c r="F16" i="4"/>
  <c r="F17" i="4"/>
  <c r="F19" i="4"/>
  <c r="F21" i="4"/>
  <c r="F23" i="4"/>
  <c r="F26" i="4"/>
  <c r="G6" i="2"/>
  <c r="G4" i="4"/>
  <c r="G12" i="4"/>
  <c r="G15" i="4"/>
  <c r="G16" i="4"/>
  <c r="G17" i="4"/>
  <c r="G19" i="4"/>
  <c r="G21" i="4"/>
  <c r="G23" i="4"/>
  <c r="G26" i="4"/>
  <c r="H6" i="2"/>
  <c r="H4" i="4"/>
  <c r="H12" i="4"/>
  <c r="H15" i="4"/>
  <c r="H16" i="4"/>
  <c r="H17" i="4"/>
  <c r="H19" i="4"/>
  <c r="H21" i="4"/>
  <c r="H23" i="4"/>
  <c r="H26" i="4"/>
  <c r="I6" i="2"/>
  <c r="I4" i="4"/>
  <c r="I12" i="4"/>
  <c r="I15" i="4"/>
  <c r="I16" i="4"/>
  <c r="I17" i="4"/>
  <c r="I19" i="4"/>
  <c r="I21" i="4"/>
  <c r="I23" i="4"/>
  <c r="I26" i="4"/>
  <c r="C27" i="9"/>
  <c r="B6" i="2"/>
  <c r="B4" i="4"/>
  <c r="B12" i="4"/>
  <c r="B15" i="4"/>
  <c r="B16" i="4"/>
  <c r="B17" i="4"/>
  <c r="B19" i="4"/>
  <c r="B21" i="4"/>
  <c r="B23" i="4"/>
  <c r="B26" i="4"/>
  <c r="C6" i="2"/>
  <c r="C4" i="4"/>
  <c r="C12" i="4"/>
  <c r="C15" i="4"/>
  <c r="C16" i="4"/>
  <c r="C17" i="4"/>
  <c r="C19" i="4"/>
  <c r="C21" i="4"/>
  <c r="C23" i="4"/>
  <c r="C26" i="4"/>
  <c r="D6" i="2"/>
  <c r="D4" i="4"/>
  <c r="D12" i="4"/>
  <c r="D15" i="4"/>
  <c r="D16" i="4"/>
  <c r="D17" i="4"/>
  <c r="D19" i="4"/>
  <c r="D21" i="4"/>
  <c r="D23" i="4"/>
  <c r="D26" i="4"/>
  <c r="E6" i="2"/>
  <c r="E4" i="4"/>
  <c r="E12" i="4"/>
  <c r="E15" i="4"/>
  <c r="E16" i="4"/>
  <c r="E17" i="4"/>
  <c r="E19" i="4"/>
  <c r="E21" i="4"/>
  <c r="E23" i="4"/>
  <c r="E26" i="4"/>
  <c r="B27" i="9"/>
  <c r="B19" i="9"/>
  <c r="C19" i="9"/>
  <c r="D19" i="9"/>
  <c r="E19" i="9"/>
  <c r="F19" i="9"/>
  <c r="B20" i="9"/>
  <c r="C20" i="9"/>
  <c r="D20" i="9"/>
  <c r="E20" i="9"/>
  <c r="F20" i="9"/>
  <c r="B17" i="9"/>
  <c r="C17" i="9"/>
  <c r="D17" i="9"/>
  <c r="E17" i="9"/>
  <c r="F17" i="9"/>
  <c r="B18" i="9"/>
  <c r="C18" i="9"/>
  <c r="D18" i="9"/>
  <c r="E18" i="9"/>
  <c r="F18" i="9"/>
  <c r="F16" i="9"/>
  <c r="E16" i="9"/>
  <c r="D16" i="9"/>
  <c r="C16" i="9"/>
  <c r="B16" i="9"/>
  <c r="B8" i="9"/>
  <c r="C8" i="9"/>
  <c r="D8" i="9"/>
  <c r="E8" i="9"/>
  <c r="F8" i="9"/>
  <c r="B9" i="9"/>
  <c r="C9" i="9"/>
  <c r="D9" i="9"/>
  <c r="E9" i="9"/>
  <c r="F9" i="9"/>
  <c r="B10" i="9"/>
  <c r="C10" i="9"/>
  <c r="D10" i="9"/>
  <c r="E10" i="9"/>
  <c r="F10" i="9"/>
  <c r="F7" i="9"/>
  <c r="E7" i="9"/>
  <c r="D7" i="9"/>
  <c r="C7" i="9"/>
  <c r="B7" i="9"/>
  <c r="C32" i="4"/>
  <c r="C5" i="9"/>
  <c r="D32" i="4"/>
  <c r="D5" i="9"/>
  <c r="E32" i="4"/>
  <c r="E5" i="9"/>
  <c r="F32" i="4"/>
  <c r="F5" i="9"/>
  <c r="D28" i="4"/>
  <c r="C28" i="4"/>
  <c r="B28" i="4"/>
  <c r="C31" i="5"/>
  <c r="D31" i="5"/>
  <c r="E31" i="5"/>
  <c r="E28" i="4"/>
  <c r="F31" i="5"/>
  <c r="F28" i="4"/>
  <c r="G31" i="5"/>
  <c r="G28" i="4"/>
  <c r="H31" i="5"/>
  <c r="H28" i="4"/>
  <c r="I31" i="5"/>
  <c r="I28" i="4"/>
  <c r="J31" i="5"/>
  <c r="J28" i="4"/>
  <c r="K31" i="5"/>
  <c r="K28" i="4"/>
  <c r="L31" i="5"/>
  <c r="L28" i="4"/>
  <c r="M31" i="5"/>
  <c r="M28" i="4"/>
  <c r="N31" i="5"/>
  <c r="N28" i="4"/>
  <c r="O31" i="5"/>
  <c r="O28" i="4"/>
  <c r="P31" i="5"/>
  <c r="P28" i="4"/>
  <c r="Q31" i="5"/>
  <c r="Q28" i="4"/>
  <c r="R31" i="5"/>
  <c r="R28" i="4"/>
  <c r="S31" i="5"/>
  <c r="S28" i="4"/>
  <c r="T31" i="5"/>
  <c r="T28" i="4"/>
  <c r="U31" i="5"/>
  <c r="U28" i="4"/>
  <c r="V31" i="5"/>
  <c r="D13" i="4"/>
  <c r="E13" i="4"/>
  <c r="F13" i="4"/>
  <c r="G13" i="4"/>
  <c r="H13" i="4"/>
  <c r="I13" i="4"/>
  <c r="J13" i="4"/>
  <c r="K13" i="4"/>
  <c r="L13" i="4"/>
  <c r="M13" i="4"/>
  <c r="N13" i="4"/>
  <c r="O13" i="4"/>
  <c r="P13" i="4"/>
  <c r="Q13" i="4"/>
  <c r="R13" i="4"/>
  <c r="S13" i="4"/>
  <c r="T13" i="4"/>
  <c r="U13" i="4"/>
  <c r="C13" i="4"/>
  <c r="B13" i="4"/>
  <c r="E15" i="1"/>
  <c r="F6" i="5"/>
  <c r="G6" i="5"/>
  <c r="H6" i="5"/>
  <c r="I6" i="5"/>
  <c r="J6" i="5"/>
  <c r="K6" i="5"/>
  <c r="L6" i="5"/>
  <c r="M6" i="5"/>
  <c r="N6" i="5"/>
  <c r="O6" i="5"/>
  <c r="P6" i="5"/>
  <c r="Q6" i="5"/>
  <c r="R6" i="5"/>
  <c r="S6" i="5"/>
  <c r="T6" i="5"/>
  <c r="U6" i="5"/>
  <c r="V6" i="5"/>
  <c r="E6" i="5"/>
  <c r="D6" i="5"/>
  <c r="C6" i="5"/>
  <c r="E21" i="1"/>
  <c r="V20" i="5"/>
  <c r="U20" i="5"/>
  <c r="T20" i="5"/>
  <c r="S20" i="5"/>
  <c r="R20" i="5"/>
  <c r="Q20" i="5"/>
  <c r="P20" i="5"/>
  <c r="O20" i="5"/>
  <c r="N20" i="5"/>
  <c r="M20" i="5"/>
  <c r="L20" i="5"/>
  <c r="K20" i="5"/>
  <c r="J20" i="5"/>
  <c r="I20" i="5"/>
  <c r="H20" i="5"/>
  <c r="G20" i="5"/>
  <c r="F20" i="5"/>
  <c r="E20" i="5"/>
  <c r="D20" i="5"/>
  <c r="C20" i="5"/>
  <c r="D15" i="5"/>
  <c r="E15" i="5"/>
  <c r="F15" i="5"/>
  <c r="G15" i="5"/>
  <c r="H15" i="5"/>
  <c r="I15" i="5"/>
  <c r="J15" i="5"/>
  <c r="K15" i="5"/>
  <c r="L15" i="5"/>
  <c r="M15" i="5"/>
  <c r="N15" i="5"/>
  <c r="O15" i="5"/>
  <c r="P15" i="5"/>
  <c r="Q15" i="5"/>
  <c r="R15" i="5"/>
  <c r="S15" i="5"/>
  <c r="T15" i="5"/>
  <c r="U15" i="5"/>
  <c r="V15" i="5"/>
  <c r="C5" i="6"/>
  <c r="D5" i="6"/>
  <c r="E5" i="6"/>
  <c r="F5" i="6"/>
  <c r="G5" i="6"/>
  <c r="H5" i="6"/>
  <c r="I5" i="6"/>
  <c r="J5" i="6"/>
  <c r="K5" i="6"/>
  <c r="L5" i="6"/>
  <c r="M5" i="6"/>
  <c r="N5" i="6"/>
  <c r="O5" i="6"/>
  <c r="P5" i="6"/>
  <c r="Q5" i="6"/>
  <c r="R5" i="6"/>
  <c r="S5" i="6"/>
  <c r="T5" i="6"/>
  <c r="U5" i="6"/>
  <c r="B5" i="6"/>
  <c r="C4" i="6"/>
  <c r="D4" i="6"/>
  <c r="E4" i="6"/>
  <c r="F4" i="6"/>
  <c r="G4" i="6"/>
  <c r="H4" i="6"/>
  <c r="I4" i="6"/>
  <c r="J4" i="6"/>
  <c r="K4" i="6"/>
  <c r="L4" i="6"/>
  <c r="M4" i="6"/>
  <c r="N4" i="6"/>
  <c r="O4" i="6"/>
  <c r="P4" i="6"/>
  <c r="Q4" i="6"/>
  <c r="R4" i="6"/>
  <c r="S4" i="6"/>
  <c r="T4" i="6"/>
  <c r="U4" i="6"/>
  <c r="B4" i="6"/>
  <c r="F40" i="4"/>
  <c r="E40" i="4"/>
  <c r="D40" i="4"/>
  <c r="C40" i="4"/>
  <c r="B40" i="4"/>
  <c r="F37" i="4"/>
  <c r="E37" i="4"/>
  <c r="D37" i="4"/>
  <c r="C37" i="4"/>
  <c r="B37" i="4"/>
  <c r="F34" i="4"/>
  <c r="E34" i="4"/>
  <c r="D34" i="4"/>
  <c r="C34" i="4"/>
  <c r="B34" i="4"/>
  <c r="B32" i="4"/>
  <c r="B7" i="6"/>
  <c r="B8" i="6"/>
  <c r="B10" i="6"/>
  <c r="B12" i="6"/>
  <c r="B15" i="6"/>
  <c r="B21" i="6"/>
  <c r="C7" i="6"/>
  <c r="C8" i="6"/>
  <c r="C10" i="6"/>
  <c r="C12" i="6"/>
  <c r="C15" i="6"/>
  <c r="C21" i="6"/>
  <c r="D7" i="6"/>
  <c r="D8" i="6"/>
  <c r="D10" i="6"/>
  <c r="D12" i="6"/>
  <c r="D15" i="6"/>
  <c r="D21" i="6"/>
  <c r="E7" i="6"/>
  <c r="E8" i="6"/>
  <c r="E10" i="6"/>
  <c r="E12" i="6"/>
  <c r="E15" i="6"/>
  <c r="E21" i="6"/>
  <c r="F7" i="6"/>
  <c r="F8" i="6"/>
  <c r="F10" i="6"/>
  <c r="F12" i="6"/>
  <c r="F15" i="6"/>
  <c r="F21" i="6"/>
  <c r="G7" i="6"/>
  <c r="G8" i="6"/>
  <c r="G10" i="6"/>
  <c r="G12" i="6"/>
  <c r="G15" i="6"/>
  <c r="G21" i="6"/>
  <c r="H7" i="6"/>
  <c r="H8" i="6"/>
  <c r="H10" i="6"/>
  <c r="H12" i="6"/>
  <c r="H15" i="6"/>
  <c r="H21" i="6"/>
  <c r="I7" i="6"/>
  <c r="I8" i="6"/>
  <c r="I10" i="6"/>
  <c r="I12" i="6"/>
  <c r="I15" i="6"/>
  <c r="I21" i="6"/>
  <c r="J7" i="6"/>
  <c r="J8" i="6"/>
  <c r="J10" i="6"/>
  <c r="J12" i="6"/>
  <c r="J15" i="6"/>
  <c r="J21" i="6"/>
  <c r="K7" i="6"/>
  <c r="K8" i="6"/>
  <c r="K10" i="6"/>
  <c r="K12" i="6"/>
  <c r="K15" i="6"/>
  <c r="K21" i="6"/>
  <c r="L7" i="6"/>
  <c r="L8" i="6"/>
  <c r="L10" i="6"/>
  <c r="L12" i="6"/>
  <c r="L15" i="6"/>
  <c r="L21" i="6"/>
  <c r="M7" i="6"/>
  <c r="M8" i="6"/>
  <c r="M10" i="6"/>
  <c r="M12" i="6"/>
  <c r="M15" i="6"/>
  <c r="M21" i="6"/>
  <c r="N7" i="6"/>
  <c r="N8" i="6"/>
  <c r="N10" i="6"/>
  <c r="N12" i="6"/>
  <c r="N15" i="6"/>
  <c r="N21" i="6"/>
  <c r="O7" i="6"/>
  <c r="O8" i="6"/>
  <c r="O10" i="6"/>
  <c r="O12" i="6"/>
  <c r="O15" i="6"/>
  <c r="O21" i="6"/>
  <c r="P7" i="6"/>
  <c r="P8" i="6"/>
  <c r="P10" i="6"/>
  <c r="P12" i="6"/>
  <c r="P15" i="6"/>
  <c r="P21" i="6"/>
  <c r="Q7" i="6"/>
  <c r="Q8" i="6"/>
  <c r="Q10" i="6"/>
  <c r="Q12" i="6"/>
  <c r="Q15" i="6"/>
  <c r="Q21" i="6"/>
  <c r="R7" i="6"/>
  <c r="R8" i="6"/>
  <c r="R10" i="6"/>
  <c r="R12" i="6"/>
  <c r="R15" i="6"/>
  <c r="R21" i="6"/>
  <c r="S7" i="6"/>
  <c r="S8" i="6"/>
  <c r="S10" i="6"/>
  <c r="S12" i="6"/>
  <c r="S15" i="6"/>
  <c r="S21" i="6"/>
  <c r="T7" i="6"/>
  <c r="T8" i="6"/>
  <c r="T10" i="6"/>
  <c r="T12" i="6"/>
  <c r="T15" i="6"/>
  <c r="T21" i="6"/>
  <c r="U7" i="6"/>
  <c r="U8" i="6"/>
  <c r="U10" i="6"/>
  <c r="U12" i="6"/>
  <c r="U15" i="6"/>
  <c r="U21" i="6"/>
  <c r="B22" i="6"/>
  <c r="C22" i="6"/>
  <c r="D22" i="6"/>
  <c r="E22" i="6"/>
  <c r="F22" i="6"/>
  <c r="G22" i="6"/>
  <c r="H22" i="6"/>
  <c r="I22" i="6"/>
  <c r="J22" i="6"/>
  <c r="K22" i="6"/>
  <c r="L22" i="6"/>
  <c r="M22" i="6"/>
  <c r="N22" i="6"/>
  <c r="O22" i="6"/>
  <c r="P22" i="6"/>
  <c r="Q22" i="6"/>
  <c r="R22" i="6"/>
  <c r="S22" i="6"/>
  <c r="T22" i="6"/>
  <c r="U22" i="6"/>
  <c r="B2" i="6"/>
  <c r="F2" i="6"/>
  <c r="F3" i="6"/>
  <c r="G3" i="6"/>
  <c r="H3" i="6"/>
  <c r="I3" i="6"/>
  <c r="J2" i="6"/>
  <c r="J3" i="6"/>
  <c r="K3" i="6"/>
  <c r="L3" i="6"/>
  <c r="M3" i="6"/>
  <c r="N2" i="6"/>
  <c r="N3" i="6"/>
  <c r="O3" i="6"/>
  <c r="P3" i="6"/>
  <c r="Q3" i="6"/>
  <c r="R2" i="6"/>
  <c r="R3" i="6"/>
  <c r="S3" i="6"/>
  <c r="T3" i="6"/>
  <c r="U3" i="6"/>
  <c r="E3" i="6"/>
  <c r="D3" i="6"/>
  <c r="C3" i="6"/>
  <c r="B3" i="6"/>
  <c r="C13" i="5"/>
  <c r="D13" i="5"/>
  <c r="E13" i="5"/>
  <c r="F13" i="5"/>
  <c r="G13" i="5"/>
  <c r="H13" i="5"/>
  <c r="I13" i="5"/>
  <c r="J13" i="5"/>
  <c r="K13" i="5"/>
  <c r="L13" i="5"/>
  <c r="M13" i="5"/>
  <c r="N13" i="5"/>
  <c r="O13" i="5"/>
  <c r="P13" i="5"/>
  <c r="Q13" i="5"/>
  <c r="R13" i="5"/>
  <c r="S13" i="5"/>
  <c r="T13" i="5"/>
  <c r="U13" i="5"/>
  <c r="V13" i="5"/>
  <c r="C14" i="5"/>
  <c r="D14" i="5"/>
  <c r="E14" i="5"/>
  <c r="F14" i="5"/>
  <c r="G14" i="5"/>
  <c r="H14" i="5"/>
  <c r="I14" i="5"/>
  <c r="J14" i="5"/>
  <c r="K14" i="5"/>
  <c r="L14" i="5"/>
  <c r="M14" i="5"/>
  <c r="N14" i="5"/>
  <c r="O14" i="5"/>
  <c r="P14" i="5"/>
  <c r="Q14" i="5"/>
  <c r="R14" i="5"/>
  <c r="S14" i="5"/>
  <c r="T14" i="5"/>
  <c r="U14" i="5"/>
  <c r="V14" i="5"/>
  <c r="F9" i="6"/>
  <c r="F13" i="6"/>
  <c r="D26" i="5"/>
  <c r="E26" i="5"/>
  <c r="F26" i="5"/>
  <c r="G26" i="5"/>
  <c r="F16" i="6"/>
  <c r="D30" i="5"/>
  <c r="E30" i="5"/>
  <c r="F30" i="5"/>
  <c r="G30" i="5"/>
  <c r="F18" i="6"/>
  <c r="E9" i="6"/>
  <c r="E13" i="6"/>
  <c r="E16" i="6"/>
  <c r="E18" i="6"/>
  <c r="D9" i="6"/>
  <c r="D13" i="6"/>
  <c r="D16" i="6"/>
  <c r="D18" i="6"/>
  <c r="C9" i="6"/>
  <c r="C13" i="6"/>
  <c r="C16" i="6"/>
  <c r="C18" i="6"/>
  <c r="B9" i="6"/>
  <c r="B13" i="6"/>
  <c r="B16" i="6"/>
  <c r="B18" i="6"/>
  <c r="G5" i="5"/>
  <c r="G9" i="6"/>
  <c r="G13" i="6"/>
  <c r="H26" i="5"/>
  <c r="G16" i="6"/>
  <c r="H30" i="5"/>
  <c r="G18" i="6"/>
  <c r="H5" i="5"/>
  <c r="H9" i="6"/>
  <c r="H13" i="6"/>
  <c r="I26" i="5"/>
  <c r="H16" i="6"/>
  <c r="I30" i="5"/>
  <c r="H18" i="6"/>
  <c r="I5" i="5"/>
  <c r="I9" i="6"/>
  <c r="I13" i="6"/>
  <c r="J26" i="5"/>
  <c r="I16" i="6"/>
  <c r="J30" i="5"/>
  <c r="I18" i="6"/>
  <c r="J5" i="5"/>
  <c r="J9" i="6"/>
  <c r="J13" i="6"/>
  <c r="K26" i="5"/>
  <c r="J16" i="6"/>
  <c r="K30" i="5"/>
  <c r="J18" i="6"/>
  <c r="K5" i="5"/>
  <c r="K9" i="6"/>
  <c r="K13" i="6"/>
  <c r="L26" i="5"/>
  <c r="K16" i="6"/>
  <c r="L30" i="5"/>
  <c r="K18" i="6"/>
  <c r="L5" i="5"/>
  <c r="L9" i="6"/>
  <c r="L13" i="6"/>
  <c r="M26" i="5"/>
  <c r="L16" i="6"/>
  <c r="M30" i="5"/>
  <c r="L18" i="6"/>
  <c r="M5" i="5"/>
  <c r="M9" i="6"/>
  <c r="M13" i="6"/>
  <c r="N26" i="5"/>
  <c r="M16" i="6"/>
  <c r="N30" i="5"/>
  <c r="M18" i="6"/>
  <c r="N5" i="5"/>
  <c r="N9" i="6"/>
  <c r="N13" i="6"/>
  <c r="O26" i="5"/>
  <c r="N16" i="6"/>
  <c r="O30" i="5"/>
  <c r="N18" i="6"/>
  <c r="O5" i="5"/>
  <c r="O9" i="6"/>
  <c r="O13" i="6"/>
  <c r="P26" i="5"/>
  <c r="O16" i="6"/>
  <c r="P30" i="5"/>
  <c r="O18" i="6"/>
  <c r="P5" i="5"/>
  <c r="P9" i="6"/>
  <c r="P13" i="6"/>
  <c r="Q26" i="5"/>
  <c r="P16" i="6"/>
  <c r="Q30" i="5"/>
  <c r="P18" i="6"/>
  <c r="Q5" i="5"/>
  <c r="Q9" i="6"/>
  <c r="Q13" i="6"/>
  <c r="R26" i="5"/>
  <c r="Q16" i="6"/>
  <c r="R30" i="5"/>
  <c r="Q18" i="6"/>
  <c r="R5" i="5"/>
  <c r="R9" i="6"/>
  <c r="R13" i="6"/>
  <c r="S26" i="5"/>
  <c r="R16" i="6"/>
  <c r="S30" i="5"/>
  <c r="R18" i="6"/>
  <c r="S5" i="5"/>
  <c r="S9" i="6"/>
  <c r="S13" i="6"/>
  <c r="T26" i="5"/>
  <c r="S16" i="6"/>
  <c r="T30" i="5"/>
  <c r="S18" i="6"/>
  <c r="T5" i="5"/>
  <c r="T9" i="6"/>
  <c r="T13" i="6"/>
  <c r="U26" i="5"/>
  <c r="T16" i="6"/>
  <c r="U30" i="5"/>
  <c r="T18" i="6"/>
  <c r="U5" i="5"/>
  <c r="U9" i="6"/>
  <c r="U13" i="6"/>
  <c r="V26" i="5"/>
  <c r="U16" i="6"/>
  <c r="V30" i="5"/>
  <c r="U18" i="6"/>
  <c r="V5" i="5"/>
  <c r="E5" i="5"/>
  <c r="F5" i="5"/>
  <c r="D5" i="5"/>
  <c r="C5" i="5"/>
  <c r="A65" i="9"/>
  <c r="C40" i="6"/>
  <c r="C83" i="9"/>
  <c r="E40" i="6"/>
  <c r="E83" i="9"/>
  <c r="A69" i="9"/>
  <c r="A71" i="9"/>
  <c r="A72" i="9"/>
  <c r="A73" i="9"/>
  <c r="A74" i="9"/>
  <c r="A76" i="9"/>
  <c r="A77" i="9"/>
  <c r="A79" i="9"/>
  <c r="A80" i="9"/>
  <c r="A82" i="9"/>
  <c r="A83" i="9"/>
  <c r="A85" i="9"/>
  <c r="A86" i="9"/>
  <c r="A68" i="9"/>
  <c r="A32" i="9"/>
  <c r="B45" i="5"/>
  <c r="B42" i="9"/>
  <c r="B57" i="5"/>
  <c r="B54" i="9"/>
  <c r="A2" i="9"/>
  <c r="G21" i="1"/>
  <c r="B40" i="6"/>
  <c r="B83" i="9"/>
  <c r="D40" i="6"/>
  <c r="D83" i="9"/>
  <c r="F40" i="6"/>
  <c r="F83" i="9"/>
  <c r="C2" i="5"/>
  <c r="B30" i="6"/>
  <c r="B73" i="9"/>
  <c r="B46" i="5"/>
  <c r="B43" i="9"/>
  <c r="G52" i="5"/>
  <c r="G49" i="9"/>
  <c r="F52" i="5"/>
  <c r="F49" i="9"/>
  <c r="E52" i="5"/>
  <c r="E49" i="9"/>
  <c r="D52" i="5"/>
  <c r="D49" i="9"/>
  <c r="C52" i="5"/>
  <c r="C49" i="9"/>
  <c r="B39" i="5"/>
  <c r="B36" i="9"/>
  <c r="B40" i="5"/>
  <c r="B37" i="9"/>
  <c r="B41" i="5"/>
  <c r="B38" i="9"/>
  <c r="C41" i="5"/>
  <c r="C38" i="9"/>
  <c r="D41" i="5"/>
  <c r="D38" i="9"/>
  <c r="E41" i="5"/>
  <c r="E38" i="9"/>
  <c r="F41" i="5"/>
  <c r="F38" i="9"/>
  <c r="G41" i="5"/>
  <c r="G38" i="9"/>
  <c r="G15" i="1"/>
  <c r="G18" i="1"/>
  <c r="B62" i="5"/>
  <c r="B59" i="9"/>
  <c r="B61" i="5"/>
  <c r="B58" i="9"/>
  <c r="B56" i="5"/>
  <c r="B53" i="9"/>
  <c r="B52" i="5"/>
  <c r="B49" i="9"/>
  <c r="B51" i="5"/>
  <c r="B48" i="9"/>
  <c r="B38" i="5"/>
  <c r="B35" i="9"/>
  <c r="A39" i="5"/>
  <c r="A36" i="9"/>
  <c r="A40" i="5"/>
  <c r="A37" i="9"/>
  <c r="A41" i="5"/>
  <c r="A38" i="9"/>
  <c r="A43" i="5"/>
  <c r="A40" i="9"/>
  <c r="A45" i="5"/>
  <c r="A42" i="9"/>
  <c r="A46" i="5"/>
  <c r="A43" i="9"/>
  <c r="A47" i="5"/>
  <c r="A44" i="9"/>
  <c r="A49" i="5"/>
  <c r="A46" i="9"/>
  <c r="A51" i="5"/>
  <c r="A48" i="9"/>
  <c r="A52" i="5"/>
  <c r="A49" i="9"/>
  <c r="A54" i="5"/>
  <c r="A51" i="9"/>
  <c r="A56" i="5"/>
  <c r="A53" i="9"/>
  <c r="A57" i="5"/>
  <c r="A54" i="9"/>
  <c r="A59" i="5"/>
  <c r="A56" i="9"/>
  <c r="A61" i="5"/>
  <c r="A58" i="9"/>
  <c r="A62" i="5"/>
  <c r="A59" i="9"/>
  <c r="A64" i="5"/>
  <c r="A61" i="9"/>
  <c r="A66" i="5"/>
  <c r="A63" i="9"/>
  <c r="A38" i="5"/>
  <c r="A35" i="9"/>
  <c r="B33" i="5"/>
  <c r="B16" i="5"/>
  <c r="B23" i="5"/>
  <c r="B28" i="5"/>
  <c r="B10" i="5"/>
  <c r="B18" i="5"/>
  <c r="A4" i="2"/>
  <c r="B54" i="5"/>
  <c r="B51" i="9"/>
  <c r="B59" i="5"/>
  <c r="B56" i="9"/>
  <c r="B43" i="5"/>
  <c r="B40" i="9"/>
  <c r="B35" i="5"/>
  <c r="B47" i="5"/>
  <c r="B44" i="9"/>
  <c r="B64" i="5"/>
  <c r="B66" i="5"/>
  <c r="B63" i="9"/>
  <c r="G2" i="5"/>
  <c r="K2" i="5"/>
  <c r="O2" i="5"/>
  <c r="S2" i="5"/>
  <c r="B37" i="5"/>
  <c r="B34" i="9"/>
  <c r="F34" i="6"/>
  <c r="F77" i="9"/>
  <c r="E34" i="6"/>
  <c r="E77" i="9"/>
  <c r="D34" i="6"/>
  <c r="D77" i="9"/>
  <c r="C34" i="6"/>
  <c r="C77" i="9"/>
  <c r="F30" i="6"/>
  <c r="F73" i="9"/>
  <c r="E30" i="6"/>
  <c r="E73" i="9"/>
  <c r="D30" i="6"/>
  <c r="D73" i="9"/>
  <c r="C30" i="6"/>
  <c r="C73" i="9"/>
  <c r="B49" i="5"/>
  <c r="B46" i="9"/>
  <c r="B37" i="6"/>
  <c r="B80" i="9"/>
  <c r="C57" i="5"/>
  <c r="C54" i="9"/>
  <c r="D57" i="5"/>
  <c r="D54" i="9"/>
  <c r="C37" i="6"/>
  <c r="C80" i="9"/>
  <c r="B34" i="6"/>
  <c r="B77" i="9"/>
  <c r="B61" i="9"/>
  <c r="C23" i="5"/>
  <c r="C28" i="5"/>
  <c r="B36" i="6"/>
  <c r="B79" i="9"/>
  <c r="C56" i="5"/>
  <c r="C61" i="5"/>
  <c r="C58" i="9"/>
  <c r="B39" i="6"/>
  <c r="B82" i="9"/>
  <c r="B26" i="6"/>
  <c r="B69" i="9"/>
  <c r="C45" i="5"/>
  <c r="B31" i="6"/>
  <c r="B74" i="9"/>
  <c r="C53" i="9"/>
  <c r="G24" i="4"/>
  <c r="G29" i="4"/>
  <c r="F29" i="4"/>
  <c r="F24" i="4"/>
  <c r="C42" i="9"/>
  <c r="D23" i="5"/>
  <c r="D28" i="5"/>
  <c r="E24" i="4"/>
  <c r="E29" i="4"/>
  <c r="C24" i="4"/>
  <c r="C29" i="4"/>
  <c r="C16" i="5"/>
  <c r="B24" i="4"/>
  <c r="B29" i="4"/>
  <c r="B22" i="9"/>
  <c r="D16" i="5"/>
  <c r="E57" i="5"/>
  <c r="E54" i="9"/>
  <c r="D37" i="6"/>
  <c r="D80" i="9"/>
  <c r="D24" i="4"/>
  <c r="C31" i="6"/>
  <c r="C74" i="9"/>
  <c r="D29" i="4"/>
  <c r="E16" i="5"/>
  <c r="H24" i="4"/>
  <c r="H29" i="4"/>
  <c r="D56" i="5"/>
  <c r="C36" i="6"/>
  <c r="C79" i="9"/>
  <c r="C39" i="6"/>
  <c r="C82" i="9"/>
  <c r="D61" i="5"/>
  <c r="D58" i="9"/>
  <c r="D45" i="5"/>
  <c r="I24" i="4"/>
  <c r="E23" i="5"/>
  <c r="E28" i="5"/>
  <c r="F16" i="5"/>
  <c r="C46" i="5"/>
  <c r="C10" i="5"/>
  <c r="C18" i="5"/>
  <c r="J24" i="4"/>
  <c r="J29" i="4"/>
  <c r="D53" i="9"/>
  <c r="D42" i="9"/>
  <c r="C33" i="5"/>
  <c r="C35" i="5"/>
  <c r="D33" i="5"/>
  <c r="D35" i="5"/>
  <c r="C43" i="9"/>
  <c r="C47" i="5"/>
  <c r="C44" i="9"/>
  <c r="G16" i="5"/>
  <c r="D10" i="5"/>
  <c r="D18" i="5"/>
  <c r="C26" i="6"/>
  <c r="C69" i="9"/>
  <c r="B5" i="9"/>
  <c r="F57" i="5"/>
  <c r="F54" i="9"/>
  <c r="K24" i="4"/>
  <c r="B12" i="9"/>
  <c r="B13" i="9"/>
  <c r="I29" i="4"/>
  <c r="H16" i="5"/>
  <c r="E37" i="6"/>
  <c r="E80" i="9"/>
  <c r="C22" i="9"/>
  <c r="D31" i="6"/>
  <c r="D74" i="9"/>
  <c r="L24" i="4"/>
  <c r="L29" i="4"/>
  <c r="F23" i="5"/>
  <c r="F28" i="5"/>
  <c r="B33" i="6"/>
  <c r="B76" i="9"/>
  <c r="C51" i="5"/>
  <c r="I16" i="5"/>
  <c r="E33" i="5"/>
  <c r="E35" i="5"/>
  <c r="B14" i="9"/>
  <c r="B24" i="9"/>
  <c r="B25" i="9"/>
  <c r="C39" i="5"/>
  <c r="C36" i="9"/>
  <c r="B28" i="6"/>
  <c r="B71" i="9"/>
  <c r="E56" i="5"/>
  <c r="D36" i="6"/>
  <c r="D79" i="9"/>
  <c r="D39" i="6"/>
  <c r="D82" i="9"/>
  <c r="E61" i="5"/>
  <c r="E58" i="9"/>
  <c r="E45" i="5"/>
  <c r="K29" i="4"/>
  <c r="C54" i="5"/>
  <c r="C48" i="9"/>
  <c r="M24" i="4"/>
  <c r="D46" i="5"/>
  <c r="J16" i="5"/>
  <c r="B38" i="4"/>
  <c r="B35" i="4"/>
  <c r="E53" i="9"/>
  <c r="E42" i="9"/>
  <c r="D47" i="5"/>
  <c r="D44" i="9"/>
  <c r="D43" i="9"/>
  <c r="N24" i="4"/>
  <c r="C40" i="5"/>
  <c r="C37" i="9"/>
  <c r="B29" i="6"/>
  <c r="B72" i="9"/>
  <c r="K16" i="5"/>
  <c r="E10" i="5"/>
  <c r="E18" i="5"/>
  <c r="B29" i="9"/>
  <c r="B30" i="9"/>
  <c r="C51" i="9"/>
  <c r="C59" i="5"/>
  <c r="D26" i="6"/>
  <c r="D69" i="9"/>
  <c r="G23" i="5"/>
  <c r="G28" i="5"/>
  <c r="L16" i="5"/>
  <c r="O24" i="4"/>
  <c r="G57" i="5"/>
  <c r="G54" i="9"/>
  <c r="N29" i="4"/>
  <c r="C56" i="9"/>
  <c r="M29" i="4"/>
  <c r="F37" i="6"/>
  <c r="F80" i="9"/>
  <c r="D22" i="9"/>
  <c r="O29" i="4"/>
  <c r="E31" i="6"/>
  <c r="E74" i="9"/>
  <c r="B41" i="4"/>
  <c r="M16" i="5"/>
  <c r="P24" i="4"/>
  <c r="P29" i="4"/>
  <c r="F56" i="5"/>
  <c r="E36" i="6"/>
  <c r="E79" i="9"/>
  <c r="F61" i="5"/>
  <c r="F58" i="9"/>
  <c r="E39" i="6"/>
  <c r="E82" i="9"/>
  <c r="F45" i="5"/>
  <c r="H23" i="5"/>
  <c r="H28" i="5"/>
  <c r="E46" i="5"/>
  <c r="N16" i="5"/>
  <c r="F33" i="5"/>
  <c r="F35" i="5"/>
  <c r="C62" i="5"/>
  <c r="Q24" i="4"/>
  <c r="B25" i="6"/>
  <c r="B68" i="9"/>
  <c r="F53" i="9"/>
  <c r="F42" i="9"/>
  <c r="G33" i="5"/>
  <c r="G35" i="5"/>
  <c r="O16" i="5"/>
  <c r="B42" i="6"/>
  <c r="B85" i="9"/>
  <c r="Q29" i="4"/>
  <c r="C59" i="9"/>
  <c r="C64" i="5"/>
  <c r="E47" i="5"/>
  <c r="E44" i="9"/>
  <c r="E43" i="9"/>
  <c r="R24" i="4"/>
  <c r="R29" i="4"/>
  <c r="E26" i="6"/>
  <c r="E69" i="9"/>
  <c r="C61" i="9"/>
  <c r="C66" i="5"/>
  <c r="C63" i="9"/>
  <c r="P16" i="5"/>
  <c r="B43" i="6"/>
  <c r="S24" i="4"/>
  <c r="S29" i="4"/>
  <c r="E22" i="9"/>
  <c r="F31" i="6"/>
  <c r="F74" i="9"/>
  <c r="B86" i="9"/>
  <c r="T24" i="4"/>
  <c r="F10" i="5"/>
  <c r="F18" i="5"/>
  <c r="C38" i="5"/>
  <c r="G10" i="5"/>
  <c r="G18" i="5"/>
  <c r="Q16" i="5"/>
  <c r="G56" i="5"/>
  <c r="F36" i="6"/>
  <c r="F79" i="9"/>
  <c r="F39" i="6"/>
  <c r="F82" i="9"/>
  <c r="G61" i="5"/>
  <c r="G58" i="9"/>
  <c r="G45" i="5"/>
  <c r="I23" i="5"/>
  <c r="I28" i="5"/>
  <c r="H33" i="5"/>
  <c r="H35" i="5"/>
  <c r="F46" i="5"/>
  <c r="R16" i="5"/>
  <c r="C43" i="5"/>
  <c r="C35" i="9"/>
  <c r="T29" i="4"/>
  <c r="U24" i="4"/>
  <c r="U29" i="4"/>
  <c r="G53" i="9"/>
  <c r="G42" i="9"/>
  <c r="S16" i="5"/>
  <c r="C40" i="9"/>
  <c r="C49" i="5"/>
  <c r="C46" i="9"/>
  <c r="F47" i="5"/>
  <c r="F44" i="9"/>
  <c r="F43" i="9"/>
  <c r="F26" i="6"/>
  <c r="F69" i="9"/>
  <c r="H10" i="5"/>
  <c r="H18" i="5"/>
  <c r="T16" i="5"/>
  <c r="D51" i="5"/>
  <c r="C33" i="6"/>
  <c r="C76" i="9"/>
  <c r="J23" i="5"/>
  <c r="J28" i="5"/>
  <c r="C12" i="9"/>
  <c r="C13" i="9"/>
  <c r="F22" i="9"/>
  <c r="C14" i="9"/>
  <c r="C24" i="9"/>
  <c r="C25" i="9"/>
  <c r="I33" i="5"/>
  <c r="I35" i="5"/>
  <c r="D54" i="5"/>
  <c r="D48" i="9"/>
  <c r="U16" i="5"/>
  <c r="D39" i="5"/>
  <c r="D36" i="9"/>
  <c r="C28" i="6"/>
  <c r="C71" i="9"/>
  <c r="V16" i="5"/>
  <c r="G46" i="5"/>
  <c r="C38" i="4"/>
  <c r="D51" i="9"/>
  <c r="D59" i="5"/>
  <c r="C35" i="4"/>
  <c r="C29" i="9"/>
  <c r="C30" i="9"/>
  <c r="D40" i="5"/>
  <c r="D37" i="9"/>
  <c r="C29" i="6"/>
  <c r="C72" i="9"/>
  <c r="I10" i="5"/>
  <c r="I18" i="5"/>
  <c r="D56" i="9"/>
  <c r="G47" i="5"/>
  <c r="G44" i="9"/>
  <c r="G43" i="9"/>
  <c r="K23" i="5"/>
  <c r="K28" i="5"/>
  <c r="C41" i="4"/>
  <c r="C25" i="6"/>
  <c r="C68" i="9"/>
  <c r="J33" i="5"/>
  <c r="J35" i="5"/>
  <c r="D62" i="5"/>
  <c r="D59" i="9"/>
  <c r="D64" i="5"/>
  <c r="L23" i="5"/>
  <c r="L28" i="5"/>
  <c r="C42" i="6"/>
  <c r="D38" i="5"/>
  <c r="J10" i="5"/>
  <c r="J18" i="5"/>
  <c r="D61" i="9"/>
  <c r="D66" i="5"/>
  <c r="D63" i="9"/>
  <c r="K33" i="5"/>
  <c r="K35" i="5"/>
  <c r="C85" i="9"/>
  <c r="C43" i="6"/>
  <c r="C86" i="9"/>
  <c r="D43" i="5"/>
  <c r="D35" i="9"/>
  <c r="K10" i="5"/>
  <c r="K18" i="5"/>
  <c r="D40" i="9"/>
  <c r="D49" i="5"/>
  <c r="D46" i="9"/>
  <c r="M23" i="5"/>
  <c r="M28" i="5"/>
  <c r="L33" i="5"/>
  <c r="L35" i="5"/>
  <c r="L10" i="5"/>
  <c r="L18" i="5"/>
  <c r="D12" i="9"/>
  <c r="D13" i="9"/>
  <c r="D14" i="9"/>
  <c r="D24" i="9"/>
  <c r="M33" i="5"/>
  <c r="M35" i="5"/>
  <c r="N23" i="5"/>
  <c r="N28" i="5"/>
  <c r="E51" i="5"/>
  <c r="D33" i="6"/>
  <c r="D76" i="9"/>
  <c r="E39" i="5"/>
  <c r="E36" i="9"/>
  <c r="D28" i="6"/>
  <c r="D71" i="9"/>
  <c r="M10" i="5"/>
  <c r="M18" i="5"/>
  <c r="D35" i="4"/>
  <c r="E48" i="9"/>
  <c r="E54" i="5"/>
  <c r="D29" i="9"/>
  <c r="D30" i="9"/>
  <c r="D25" i="9"/>
  <c r="O23" i="5"/>
  <c r="O28" i="5"/>
  <c r="E51" i="9"/>
  <c r="E59" i="5"/>
  <c r="E40" i="5"/>
  <c r="E37" i="9"/>
  <c r="D29" i="6"/>
  <c r="D72" i="9"/>
  <c r="D38" i="4"/>
  <c r="D41" i="4"/>
  <c r="E56" i="9"/>
  <c r="N33" i="5"/>
  <c r="N35" i="5"/>
  <c r="E62" i="5"/>
  <c r="D25" i="6"/>
  <c r="D68" i="9"/>
  <c r="P23" i="5"/>
  <c r="P28" i="5"/>
  <c r="E64" i="5"/>
  <c r="E59" i="9"/>
  <c r="D42" i="6"/>
  <c r="D85" i="9"/>
  <c r="D43" i="6"/>
  <c r="E61" i="9"/>
  <c r="E66" i="5"/>
  <c r="E63" i="9"/>
  <c r="E38" i="5"/>
  <c r="N10" i="5"/>
  <c r="N18" i="5"/>
  <c r="O33" i="5"/>
  <c r="O35" i="5"/>
  <c r="D86" i="9"/>
  <c r="E43" i="5"/>
  <c r="E35" i="9"/>
  <c r="Q23" i="5"/>
  <c r="Q28" i="5"/>
  <c r="O10" i="5"/>
  <c r="O18" i="5"/>
  <c r="E49" i="5"/>
  <c r="E46" i="9"/>
  <c r="E40" i="9"/>
  <c r="P33" i="5"/>
  <c r="P35" i="5"/>
  <c r="P10" i="5"/>
  <c r="P18" i="5"/>
  <c r="E12" i="9"/>
  <c r="E13" i="9"/>
  <c r="Q33" i="5"/>
  <c r="Q35" i="5"/>
  <c r="F39" i="5"/>
  <c r="F36" i="9"/>
  <c r="E28" i="6"/>
  <c r="E71" i="9"/>
  <c r="R23" i="5"/>
  <c r="R28" i="5"/>
  <c r="F51" i="5"/>
  <c r="E33" i="6"/>
  <c r="E76" i="9"/>
  <c r="E24" i="9"/>
  <c r="E25" i="9"/>
  <c r="E14" i="9"/>
  <c r="E29" i="9"/>
  <c r="E30" i="9"/>
  <c r="E35" i="4"/>
  <c r="F48" i="9"/>
  <c r="F54" i="5"/>
  <c r="Q10" i="5"/>
  <c r="Q18" i="5"/>
  <c r="F51" i="9"/>
  <c r="F59" i="5"/>
  <c r="F40" i="5"/>
  <c r="F37" i="9"/>
  <c r="E29" i="6"/>
  <c r="E72" i="9"/>
  <c r="E38" i="4"/>
  <c r="S23" i="5"/>
  <c r="S28" i="5"/>
  <c r="F56" i="9"/>
  <c r="E41" i="4"/>
  <c r="T23" i="5"/>
  <c r="T28" i="5"/>
  <c r="F62" i="5"/>
  <c r="R33" i="5"/>
  <c r="R35" i="5"/>
  <c r="E25" i="6"/>
  <c r="E68" i="9"/>
  <c r="E42" i="6"/>
  <c r="S33" i="5"/>
  <c r="S35" i="5"/>
  <c r="F64" i="5"/>
  <c r="F59" i="9"/>
  <c r="R10" i="5"/>
  <c r="R18" i="5"/>
  <c r="F38" i="5"/>
  <c r="E85" i="9"/>
  <c r="E43" i="6"/>
  <c r="F61" i="9"/>
  <c r="F66" i="5"/>
  <c r="F63" i="9"/>
  <c r="F35" i="9"/>
  <c r="F43" i="5"/>
  <c r="E86" i="9"/>
  <c r="S10" i="5"/>
  <c r="S18" i="5"/>
  <c r="U23" i="5"/>
  <c r="U28" i="5"/>
  <c r="T33" i="5"/>
  <c r="T35" i="5"/>
  <c r="F40" i="9"/>
  <c r="F49" i="5"/>
  <c r="F46" i="9"/>
  <c r="F12" i="9"/>
  <c r="F13" i="9"/>
  <c r="U33" i="5"/>
  <c r="U35" i="5"/>
  <c r="T10" i="5"/>
  <c r="T18" i="5"/>
  <c r="G51" i="5"/>
  <c r="F33" i="6"/>
  <c r="F76" i="9"/>
  <c r="V23" i="5"/>
  <c r="V28" i="5"/>
  <c r="F14" i="9"/>
  <c r="F24" i="9"/>
  <c r="G39" i="5"/>
  <c r="G36" i="9"/>
  <c r="F28" i="6"/>
  <c r="F71" i="9"/>
  <c r="F35" i="4"/>
  <c r="U10" i="5"/>
  <c r="U18" i="5"/>
  <c r="F38" i="4"/>
  <c r="F25" i="9"/>
  <c r="F29" i="9"/>
  <c r="F30" i="9"/>
  <c r="G54" i="5"/>
  <c r="G48" i="9"/>
  <c r="G51" i="9"/>
  <c r="G59" i="5"/>
  <c r="G40" i="5"/>
  <c r="G37" i="9"/>
  <c r="F29" i="6"/>
  <c r="F72" i="9"/>
  <c r="F41" i="4"/>
  <c r="G56" i="9"/>
  <c r="F25" i="6"/>
  <c r="F68" i="9"/>
  <c r="V33" i="5"/>
  <c r="V35" i="5"/>
  <c r="G62" i="5"/>
  <c r="G59" i="9"/>
  <c r="G64" i="5"/>
  <c r="F42" i="6"/>
  <c r="F85" i="9"/>
  <c r="F43" i="6"/>
  <c r="F86" i="9"/>
  <c r="G61" i="9"/>
  <c r="G66" i="5"/>
  <c r="G63" i="9"/>
  <c r="V10" i="5"/>
  <c r="V18" i="5"/>
  <c r="G38" i="5"/>
  <c r="G43" i="5"/>
  <c r="G35" i="9"/>
  <c r="G40" i="9"/>
  <c r="G49" i="5"/>
  <c r="G46" i="9"/>
  <c r="B24" i="6"/>
  <c r="C24" i="6"/>
  <c r="D24" i="6"/>
  <c r="D67" i="9"/>
  <c r="E24" i="6"/>
  <c r="E67" i="9"/>
  <c r="F24" i="6"/>
  <c r="F67" i="9"/>
  <c r="B31" i="4"/>
  <c r="C31" i="4"/>
  <c r="C4" i="9"/>
  <c r="C67" i="9"/>
  <c r="C37" i="5"/>
  <c r="D37" i="5"/>
  <c r="E37" i="5"/>
  <c r="F37" i="5"/>
  <c r="F34" i="9"/>
  <c r="G37" i="5"/>
  <c r="G34" i="9"/>
  <c r="D34" i="9"/>
  <c r="D31" i="4"/>
  <c r="E31" i="4"/>
  <c r="E4" i="9"/>
  <c r="B4" i="9"/>
  <c r="D4" i="9"/>
  <c r="E34" i="9"/>
  <c r="B2" i="4"/>
  <c r="F2" i="4"/>
  <c r="J2" i="4"/>
  <c r="N2" i="4"/>
  <c r="R2" i="4"/>
  <c r="F31" i="4"/>
  <c r="F4" i="9"/>
  <c r="C34" i="9"/>
  <c r="B67" i="9"/>
</calcChain>
</file>

<file path=xl/sharedStrings.xml><?xml version="1.0" encoding="utf-8"?>
<sst xmlns="http://schemas.openxmlformats.org/spreadsheetml/2006/main" count="192" uniqueCount="92">
  <si>
    <t>UNITS SALES</t>
  </si>
  <si>
    <t>Revenue</t>
  </si>
  <si>
    <t>Cost of Goods Sold</t>
  </si>
  <si>
    <t>First Year</t>
  </si>
  <si>
    <t>Corporate Overhead</t>
  </si>
  <si>
    <t>Direct Material</t>
  </si>
  <si>
    <t>Direct Labor</t>
  </si>
  <si>
    <t>Direct Factory O/H</t>
  </si>
  <si>
    <t>G&amp;A</t>
  </si>
  <si>
    <t>M&amp;S</t>
  </si>
  <si>
    <t>R&amp;D</t>
  </si>
  <si>
    <t>Other</t>
  </si>
  <si>
    <t>Gross Profit</t>
  </si>
  <si>
    <t>Gross Margin %</t>
  </si>
  <si>
    <t>Net Profit</t>
  </si>
  <si>
    <t>Net Profit %</t>
  </si>
  <si>
    <t>Tax Rate</t>
  </si>
  <si>
    <t>Tax</t>
  </si>
  <si>
    <t>Net Profit After Tax</t>
  </si>
  <si>
    <t>NPAT %</t>
  </si>
  <si>
    <t>%</t>
  </si>
  <si>
    <t>Gross by Year</t>
  </si>
  <si>
    <t>Revenue by Year</t>
  </si>
  <si>
    <t>Net by Year</t>
  </si>
  <si>
    <t>NPAT by Year</t>
  </si>
  <si>
    <t>Q1</t>
  </si>
  <si>
    <t>Q2</t>
  </si>
  <si>
    <t>Q3</t>
  </si>
  <si>
    <t>Q4</t>
  </si>
  <si>
    <t>Cash</t>
  </si>
  <si>
    <t>Accounts Receivable</t>
  </si>
  <si>
    <t>Inventories</t>
  </si>
  <si>
    <t>Other Current</t>
  </si>
  <si>
    <t>Total Current</t>
  </si>
  <si>
    <t>Fixed Assets</t>
  </si>
  <si>
    <t>Less: Accum Deprec</t>
  </si>
  <si>
    <t>Net Fixed Assets</t>
  </si>
  <si>
    <t>Total Assets</t>
  </si>
  <si>
    <t>Accounts Payable</t>
  </si>
  <si>
    <t>Other Current Lia</t>
  </si>
  <si>
    <t>Total Current Lia</t>
  </si>
  <si>
    <t>Notes Payable</t>
  </si>
  <si>
    <t>Other Long Term</t>
  </si>
  <si>
    <t>Total Liabilities</t>
  </si>
  <si>
    <t>Paid In Capital</t>
  </si>
  <si>
    <t>Total Equity</t>
  </si>
  <si>
    <t>Total Lia &amp; Equity</t>
  </si>
  <si>
    <t>Retained Earnings</t>
  </si>
  <si>
    <t>Inventory</t>
  </si>
  <si>
    <t>Y/E</t>
  </si>
  <si>
    <t>Depreciation</t>
  </si>
  <si>
    <t>Interest</t>
  </si>
  <si>
    <t>Interest on Notes</t>
  </si>
  <si>
    <t>Depreciation Years</t>
  </si>
  <si>
    <t>(Straight Line)</t>
  </si>
  <si>
    <t>Other Current Long Term</t>
  </si>
  <si>
    <t>Net Cash</t>
  </si>
  <si>
    <t>Cumulative Cash</t>
  </si>
  <si>
    <t>Prior</t>
  </si>
  <si>
    <t>Dividends</t>
  </si>
  <si>
    <t>Unit Price</t>
  </si>
  <si>
    <t>Unit Labor</t>
  </si>
  <si>
    <t>Date</t>
  </si>
  <si>
    <t>Investment</t>
  </si>
  <si>
    <t>Calc Depreciation</t>
  </si>
  <si>
    <t>Calc Cum Depreciation</t>
  </si>
  <si>
    <t>Company Name</t>
  </si>
  <si>
    <t>Write Company Name Here</t>
  </si>
  <si>
    <t>REVENUE</t>
  </si>
  <si>
    <t>MATERIAL</t>
  </si>
  <si>
    <t>LABOR</t>
  </si>
  <si>
    <t>FACTORY O/H</t>
  </si>
  <si>
    <t>Mktg &amp; Sales</t>
  </si>
  <si>
    <t>OTHER</t>
  </si>
  <si>
    <t xml:space="preserve"> Q1 </t>
  </si>
  <si>
    <t xml:space="preserve"> Q2 </t>
  </si>
  <si>
    <t xml:space="preserve"> Q3 </t>
  </si>
  <si>
    <t xml:space="preserve"> Q4 </t>
  </si>
  <si>
    <t>Unit Materials</t>
  </si>
  <si>
    <t>Unit Overhead</t>
  </si>
  <si>
    <t>Product Name</t>
  </si>
  <si>
    <t>Write Product Name Here</t>
  </si>
  <si>
    <t>Fixed Asset Purchase</t>
  </si>
  <si>
    <t>Asset Name</t>
  </si>
  <si>
    <t>Loan Name</t>
  </si>
  <si>
    <t>Bank Loan</t>
  </si>
  <si>
    <t xml:space="preserve">A/R Ratio to </t>
  </si>
  <si>
    <t>Annual Revenue</t>
  </si>
  <si>
    <t xml:space="preserve">Inventory Ratio to </t>
  </si>
  <si>
    <t>Annual Cost of Goods</t>
  </si>
  <si>
    <t>A/P Ratio to</t>
  </si>
  <si>
    <t>Annual Materials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</si>
</sst>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_(* #,##0.00_);_(* \(#,##0.00\);_(* &quot;-&quot;??_);_(@_)"/>
    <numFmt numFmtId="165" formatCode="_(* #,##0_);_(* \(#,##0\);_(* &quot;-&quot;??_);_(@_)"/>
    <numFmt numFmtId="166" formatCode="0.0%"/>
    <numFmt numFmtId="167" formatCode="&quot;$&quot;#,##0\ ;\(&quot;$&quot;#,##0\)"/>
    <numFmt numFmtId="168" formatCode="_([$€-2]* #,##0.00_);_([$€-2]* \(#,##0.00\);_([$€-2]* &quot;-&quot;??_)"/>
    <numFmt numFmtId="169" formatCode="###0.000_);[Red]\(###0.000\)"/>
    <numFmt numFmtId="170" formatCode="_-* #,##0_-;\-* #,##0_-;_-* &quot;-&quot;??_-;_-@_-"/>
    <numFmt numFmtId="171" formatCode="_(&quot;$&quot;* #,##0.00_);_(&quot;$&quot;* \(#,##0.00\);_(&quot;$&quot;* &quot;-&quot;??_);_(@_)"/>
  </numFmts>
  <fonts count="30"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0"/>
      <color indexed="21"/>
      <name val="Arial"/>
      <family val="2"/>
    </font>
    <font>
      <sz val="10"/>
      <color indexed="24"/>
      <name val="Courier New"/>
      <family val="3"/>
    </font>
    <font>
      <sz val="8"/>
      <name val="Arial"/>
      <family val="2"/>
    </font>
    <font>
      <b/>
      <sz val="16"/>
      <name val="Times New Roman"/>
      <family val="1"/>
    </font>
    <font>
      <b/>
      <sz val="12"/>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1"/>
      <color theme="1"/>
      <name val="Calibri"/>
      <family val="2"/>
      <scheme val="minor"/>
    </font>
    <font>
      <b/>
      <sz val="14"/>
      <color theme="1"/>
      <name val="Arial"/>
    </font>
    <font>
      <sz val="11"/>
      <color theme="1"/>
      <name val="Arial"/>
    </font>
    <font>
      <b/>
      <sz val="16"/>
      <color theme="1"/>
      <name val="Arial"/>
    </font>
    <font>
      <sz val="16"/>
      <color theme="1"/>
      <name val="Arial"/>
    </font>
    <font>
      <b/>
      <i/>
      <u/>
      <sz val="22"/>
      <color theme="1"/>
      <name val="Arial"/>
    </font>
    <font>
      <b/>
      <sz val="14"/>
      <color theme="0"/>
      <name val="Arial"/>
    </font>
    <font>
      <b/>
      <sz val="14"/>
      <name val="Arial"/>
    </font>
    <font>
      <u/>
      <sz val="11"/>
      <color theme="10"/>
      <name val="Calibri"/>
      <family val="2"/>
      <scheme val="minor"/>
    </font>
    <font>
      <u/>
      <sz val="11"/>
      <color theme="11"/>
      <name val="Calibri"/>
      <family val="2"/>
      <scheme val="minor"/>
    </font>
    <font>
      <sz val="8"/>
      <name val="Calibri"/>
      <family val="2"/>
      <scheme val="minor"/>
    </font>
    <font>
      <b/>
      <sz val="14"/>
      <color rgb="FF000000"/>
      <name val="Arial"/>
    </font>
    <font>
      <b/>
      <sz val="14"/>
      <color rgb="FFFFFFFF"/>
      <name val="Arial"/>
    </font>
    <font>
      <sz val="16"/>
      <color theme="3" tint="0.79998168889431442"/>
      <name val="Arial"/>
    </font>
  </fonts>
  <fills count="31">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5D9F1"/>
        <bgColor rgb="FF000000"/>
      </patternFill>
    </fill>
    <fill>
      <patternFill patternType="solid">
        <fgColor rgb="FF538DD5"/>
        <bgColor rgb="FF000000"/>
      </patternFill>
    </fill>
  </fills>
  <borders count="13">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top/>
      <bottom style="thin">
        <color auto="1"/>
      </bottom>
      <diagonal/>
    </border>
  </borders>
  <cellStyleXfs count="132">
    <xf numFmtId="0" fontId="0" fillId="0" borderId="0"/>
    <xf numFmtId="0" fontId="3" fillId="0" borderId="0"/>
    <xf numFmtId="0" fontId="3" fillId="0" borderId="0"/>
    <xf numFmtId="164" fontId="16" fillId="0" borderId="0" applyFont="0" applyFill="0" applyBorder="0" applyAlignment="0" applyProtection="0"/>
    <xf numFmtId="3" fontId="5" fillId="0" borderId="0" applyFont="0" applyFill="0" applyBorder="0" applyAlignment="0" applyProtection="0"/>
    <xf numFmtId="167" fontId="5" fillId="0" borderId="0" applyFont="0" applyFill="0" applyBorder="0" applyAlignment="0" applyProtection="0"/>
    <xf numFmtId="0" fontId="5" fillId="0" borderId="0" applyFont="0" applyFill="0" applyBorder="0" applyAlignment="0" applyProtection="0"/>
    <xf numFmtId="168" fontId="3" fillId="0" borderId="0" applyFont="0" applyFill="0" applyBorder="0" applyAlignment="0" applyProtection="0"/>
    <xf numFmtId="2" fontId="5" fillId="0" borderId="0" applyFont="0" applyFill="0" applyBorder="0" applyAlignment="0" applyProtection="0"/>
    <xf numFmtId="38" fontId="6" fillId="10" borderId="0" applyNumberFormat="0" applyBorder="0" applyAlignment="0" applyProtection="0"/>
    <xf numFmtId="0" fontId="7" fillId="0" borderId="0"/>
    <xf numFmtId="0" fontId="8" fillId="0" borderId="1" applyNumberFormat="0" applyAlignment="0" applyProtection="0">
      <alignment horizontal="left" vertical="center"/>
    </xf>
    <xf numFmtId="0" fontId="8" fillId="0" borderId="2">
      <alignment horizontal="left" vertical="center"/>
    </xf>
    <xf numFmtId="10" fontId="6" fillId="11" borderId="3" applyNumberFormat="0" applyBorder="0" applyAlignment="0" applyProtection="0"/>
    <xf numFmtId="169" fontId="3" fillId="0" borderId="0"/>
    <xf numFmtId="0" fontId="3" fillId="0" borderId="0"/>
    <xf numFmtId="9" fontId="16" fillId="0" borderId="0" applyFont="0" applyFill="0" applyBorder="0" applyAlignment="0" applyProtection="0"/>
    <xf numFmtId="10" fontId="3" fillId="0" borderId="0" applyFont="0" applyFill="0" applyBorder="0" applyAlignment="0" applyProtection="0"/>
    <xf numFmtId="4" fontId="9" fillId="12" borderId="4" applyNumberFormat="0" applyProtection="0">
      <alignment vertical="center"/>
    </xf>
    <xf numFmtId="4" fontId="10" fillId="13" borderId="4" applyNumberFormat="0" applyProtection="0">
      <alignment vertical="center"/>
    </xf>
    <xf numFmtId="4" fontId="9" fillId="13" borderId="4" applyNumberFormat="0" applyProtection="0">
      <alignment horizontal="left" vertical="center" indent="1"/>
    </xf>
    <xf numFmtId="0" fontId="9" fillId="13" borderId="4" applyNumberFormat="0" applyProtection="0">
      <alignment horizontal="left" vertical="top" indent="1"/>
    </xf>
    <xf numFmtId="4" fontId="9" fillId="14" borderId="0" applyNumberFormat="0" applyProtection="0">
      <alignment horizontal="left" vertical="center" indent="1"/>
    </xf>
    <xf numFmtId="4" fontId="11" fillId="2" borderId="4" applyNumberFormat="0" applyProtection="0">
      <alignment horizontal="right" vertical="center"/>
    </xf>
    <xf numFmtId="4" fontId="11" fillId="3" borderId="4" applyNumberFormat="0" applyProtection="0">
      <alignment horizontal="right" vertical="center"/>
    </xf>
    <xf numFmtId="4" fontId="11" fillId="7" borderId="4" applyNumberFormat="0" applyProtection="0">
      <alignment horizontal="right" vertical="center"/>
    </xf>
    <xf numFmtId="4" fontId="11" fillId="5" borderId="4" applyNumberFormat="0" applyProtection="0">
      <alignment horizontal="right" vertical="center"/>
    </xf>
    <xf numFmtId="4" fontId="11" fillId="6" borderId="4" applyNumberFormat="0" applyProtection="0">
      <alignment horizontal="right" vertical="center"/>
    </xf>
    <xf numFmtId="4" fontId="11" fillId="9" borderId="4" applyNumberFormat="0" applyProtection="0">
      <alignment horizontal="right" vertical="center"/>
    </xf>
    <xf numFmtId="4" fontId="11" fillId="8" borderId="4" applyNumberFormat="0" applyProtection="0">
      <alignment horizontal="right" vertical="center"/>
    </xf>
    <xf numFmtId="4" fontId="11" fillId="15" borderId="4" applyNumberFormat="0" applyProtection="0">
      <alignment horizontal="right" vertical="center"/>
    </xf>
    <xf numFmtId="4" fontId="11" fillId="4" borderId="4" applyNumberFormat="0" applyProtection="0">
      <alignment horizontal="right" vertical="center"/>
    </xf>
    <xf numFmtId="4" fontId="9" fillId="16" borderId="5" applyNumberFormat="0" applyProtection="0">
      <alignment horizontal="left" vertical="center" indent="1"/>
    </xf>
    <xf numFmtId="4" fontId="11" fillId="17" borderId="0" applyNumberFormat="0" applyProtection="0">
      <alignment horizontal="left" vertical="center" indent="1"/>
    </xf>
    <xf numFmtId="4" fontId="12" fillId="18" borderId="0" applyNumberFormat="0" applyProtection="0">
      <alignment horizontal="left" vertical="center" indent="1"/>
    </xf>
    <xf numFmtId="4" fontId="11" fillId="19" borderId="4" applyNumberFormat="0" applyProtection="0">
      <alignment horizontal="right" vertical="center"/>
    </xf>
    <xf numFmtId="4" fontId="11" fillId="17" borderId="0" applyNumberFormat="0" applyProtection="0">
      <alignment horizontal="left" vertical="center" indent="1"/>
    </xf>
    <xf numFmtId="4" fontId="11" fillId="14" borderId="0" applyNumberFormat="0" applyProtection="0">
      <alignment horizontal="left" vertical="center" indent="1"/>
    </xf>
    <xf numFmtId="0" fontId="3" fillId="18" borderId="4" applyNumberFormat="0" applyProtection="0">
      <alignment horizontal="left" vertical="center" indent="1"/>
    </xf>
    <xf numFmtId="0" fontId="3" fillId="18" borderId="4" applyNumberFormat="0" applyProtection="0">
      <alignment horizontal="left" vertical="top" indent="1"/>
    </xf>
    <xf numFmtId="0" fontId="3" fillId="14" borderId="4" applyNumberFormat="0" applyProtection="0">
      <alignment horizontal="left" vertical="center" indent="1"/>
    </xf>
    <xf numFmtId="0" fontId="3" fillId="14" borderId="4" applyNumberFormat="0" applyProtection="0">
      <alignment horizontal="left" vertical="top" indent="1"/>
    </xf>
    <xf numFmtId="0" fontId="3" fillId="20" borderId="4" applyNumberFormat="0" applyProtection="0">
      <alignment horizontal="left" vertical="center" indent="1"/>
    </xf>
    <xf numFmtId="0" fontId="3" fillId="20" borderId="4" applyNumberFormat="0" applyProtection="0">
      <alignment horizontal="left" vertical="top" indent="1"/>
    </xf>
    <xf numFmtId="0" fontId="3" fillId="21" borderId="4" applyNumberFormat="0" applyProtection="0">
      <alignment horizontal="left" vertical="center" indent="1"/>
    </xf>
    <xf numFmtId="0" fontId="3" fillId="21" borderId="4" applyNumberFormat="0" applyProtection="0">
      <alignment horizontal="left" vertical="top" indent="1"/>
    </xf>
    <xf numFmtId="4" fontId="11" fillId="11" borderId="4" applyNumberFormat="0" applyProtection="0">
      <alignment vertical="center"/>
    </xf>
    <xf numFmtId="4" fontId="13" fillId="11" borderId="4" applyNumberFormat="0" applyProtection="0">
      <alignment vertical="center"/>
    </xf>
    <xf numFmtId="4" fontId="11" fillId="11" borderId="4" applyNumberFormat="0" applyProtection="0">
      <alignment horizontal="left" vertical="center" indent="1"/>
    </xf>
    <xf numFmtId="0" fontId="11" fillId="11" borderId="4" applyNumberFormat="0" applyProtection="0">
      <alignment horizontal="left" vertical="top" indent="1"/>
    </xf>
    <xf numFmtId="4" fontId="11" fillId="17" borderId="4" applyNumberFormat="0" applyProtection="0">
      <alignment horizontal="right" vertical="center"/>
    </xf>
    <xf numFmtId="4" fontId="13" fillId="17" borderId="4" applyNumberFormat="0" applyProtection="0">
      <alignment horizontal="right" vertical="center"/>
    </xf>
    <xf numFmtId="4" fontId="11" fillId="19" borderId="4" applyNumberFormat="0" applyProtection="0">
      <alignment horizontal="left" vertical="center" indent="1"/>
    </xf>
    <xf numFmtId="0" fontId="11" fillId="14" borderId="4" applyNumberFormat="0" applyProtection="0">
      <alignment horizontal="left" vertical="top" indent="1"/>
    </xf>
    <xf numFmtId="4" fontId="14" fillId="22" borderId="0" applyNumberFormat="0" applyProtection="0">
      <alignment horizontal="left" vertical="center" indent="1"/>
    </xf>
    <xf numFmtId="4" fontId="15" fillId="17" borderId="4" applyNumberFormat="0" applyProtection="0">
      <alignment horizontal="right" vertical="center"/>
    </xf>
    <xf numFmtId="0" fontId="3" fillId="0" borderId="0"/>
    <xf numFmtId="0" fontId="2" fillId="0" borderId="0"/>
    <xf numFmtId="164" fontId="3" fillId="0" borderId="0" applyFont="0" applyFill="0" applyBorder="0" applyAlignment="0" applyProtection="0"/>
    <xf numFmtId="171" fontId="3"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84">
    <xf numFmtId="0" fontId="0" fillId="0" borderId="0" xfId="0"/>
    <xf numFmtId="0" fontId="4" fillId="24" borderId="0" xfId="15" applyFont="1" applyFill="1"/>
    <xf numFmtId="0" fontId="2" fillId="28" borderId="0" xfId="57" applyFill="1"/>
    <xf numFmtId="0" fontId="17" fillId="24" borderId="0" xfId="0" applyFont="1" applyFill="1"/>
    <xf numFmtId="164" fontId="18" fillId="24" borderId="0" xfId="3" applyFont="1" applyFill="1" applyAlignment="1">
      <alignment horizontal="center"/>
    </xf>
    <xf numFmtId="165" fontId="18" fillId="24" borderId="0" xfId="3" applyNumberFormat="1" applyFont="1" applyFill="1" applyAlignment="1">
      <alignment horizontal="center"/>
    </xf>
    <xf numFmtId="0" fontId="18" fillId="24" borderId="0" xfId="0" applyFont="1" applyFill="1"/>
    <xf numFmtId="164" fontId="18" fillId="25" borderId="3" xfId="3" applyFont="1" applyFill="1" applyBorder="1" applyAlignment="1" applyProtection="1">
      <alignment horizontal="center"/>
      <protection locked="0"/>
    </xf>
    <xf numFmtId="164" fontId="18" fillId="24" borderId="3" xfId="3" applyFont="1" applyFill="1" applyBorder="1" applyAlignment="1">
      <alignment horizontal="center"/>
    </xf>
    <xf numFmtId="0" fontId="19" fillId="24" borderId="0" xfId="0" applyFont="1" applyFill="1"/>
    <xf numFmtId="164" fontId="20" fillId="24" borderId="0" xfId="3" applyFont="1" applyFill="1" applyAlignment="1">
      <alignment horizontal="center"/>
    </xf>
    <xf numFmtId="165" fontId="20" fillId="24" borderId="0" xfId="3" applyNumberFormat="1" applyFont="1" applyFill="1" applyAlignment="1">
      <alignment horizontal="center"/>
    </xf>
    <xf numFmtId="0" fontId="20" fillId="24" borderId="0" xfId="0" applyFont="1" applyFill="1"/>
    <xf numFmtId="164" fontId="20" fillId="24" borderId="0" xfId="3" applyFont="1" applyFill="1" applyAlignment="1">
      <alignment horizontal="center" vertical="center"/>
    </xf>
    <xf numFmtId="164" fontId="19" fillId="24" borderId="0" xfId="3" applyFont="1" applyFill="1" applyAlignment="1">
      <alignment horizontal="center"/>
    </xf>
    <xf numFmtId="165" fontId="20" fillId="24" borderId="3" xfId="3" applyNumberFormat="1" applyFont="1" applyFill="1" applyBorder="1" applyAlignment="1" applyProtection="1">
      <alignment horizontal="center"/>
      <protection locked="0"/>
    </xf>
    <xf numFmtId="0" fontId="20" fillId="25" borderId="3" xfId="3" applyNumberFormat="1" applyFont="1" applyFill="1" applyBorder="1" applyAlignment="1" applyProtection="1">
      <alignment horizontal="center"/>
      <protection locked="0"/>
    </xf>
    <xf numFmtId="164" fontId="20" fillId="24" borderId="0" xfId="3" applyFont="1" applyFill="1" applyAlignment="1" applyProtection="1">
      <alignment horizontal="center"/>
      <protection locked="0"/>
    </xf>
    <xf numFmtId="165" fontId="19" fillId="24" borderId="0" xfId="3" applyNumberFormat="1" applyFont="1" applyFill="1" applyAlignment="1">
      <alignment horizontal="left"/>
    </xf>
    <xf numFmtId="9" fontId="20" fillId="25" borderId="3" xfId="3" applyNumberFormat="1" applyFont="1" applyFill="1" applyBorder="1" applyAlignment="1" applyProtection="1">
      <alignment horizontal="center"/>
      <protection locked="0"/>
    </xf>
    <xf numFmtId="165" fontId="20" fillId="24" borderId="0" xfId="0" applyNumberFormat="1" applyFont="1" applyFill="1"/>
    <xf numFmtId="165" fontId="19" fillId="24" borderId="0" xfId="3" applyNumberFormat="1" applyFont="1" applyFill="1" applyAlignment="1">
      <alignment horizontal="center"/>
    </xf>
    <xf numFmtId="0" fontId="18" fillId="0" borderId="0" xfId="0" applyFont="1" applyFill="1"/>
    <xf numFmtId="0" fontId="21" fillId="0" borderId="0" xfId="0" applyFont="1" applyFill="1"/>
    <xf numFmtId="0" fontId="17" fillId="0" borderId="0" xfId="0" applyFont="1" applyFill="1"/>
    <xf numFmtId="0" fontId="22" fillId="26" borderId="3" xfId="3" applyNumberFormat="1" applyFont="1" applyFill="1" applyBorder="1" applyAlignment="1">
      <alignment horizontal="center"/>
    </xf>
    <xf numFmtId="165" fontId="23" fillId="0" borderId="3" xfId="3" applyNumberFormat="1" applyFont="1" applyFill="1" applyBorder="1" applyAlignment="1">
      <alignment horizontal="center"/>
    </xf>
    <xf numFmtId="165" fontId="18" fillId="0" borderId="0" xfId="0" applyNumberFormat="1" applyFont="1" applyFill="1" applyProtection="1"/>
    <xf numFmtId="165" fontId="18" fillId="0" borderId="3" xfId="3" applyNumberFormat="1" applyFont="1" applyFill="1" applyBorder="1" applyAlignment="1" applyProtection="1">
      <alignment horizontal="center"/>
    </xf>
    <xf numFmtId="166" fontId="18" fillId="27" borderId="3" xfId="16" applyNumberFormat="1" applyFont="1" applyFill="1" applyBorder="1" applyAlignment="1" applyProtection="1">
      <alignment horizontal="center"/>
    </xf>
    <xf numFmtId="0" fontId="18" fillId="0" borderId="0" xfId="0" applyFont="1" applyFill="1" applyProtection="1"/>
    <xf numFmtId="0" fontId="22" fillId="26" borderId="3" xfId="0" applyFont="1" applyFill="1" applyBorder="1" applyAlignment="1">
      <alignment horizontal="center"/>
    </xf>
    <xf numFmtId="165" fontId="18" fillId="27" borderId="3" xfId="3" applyNumberFormat="1" applyFont="1" applyFill="1" applyBorder="1" applyAlignment="1" applyProtection="1">
      <alignment horizontal="center"/>
    </xf>
    <xf numFmtId="0" fontId="17" fillId="0" borderId="0" xfId="0" applyFont="1" applyFill="1" applyProtection="1"/>
    <xf numFmtId="0" fontId="17" fillId="24" borderId="0" xfId="0" applyFont="1" applyFill="1" applyProtection="1"/>
    <xf numFmtId="164" fontId="18" fillId="24" borderId="0" xfId="3" applyFont="1" applyFill="1" applyAlignment="1" applyProtection="1">
      <alignment horizontal="center"/>
    </xf>
    <xf numFmtId="165" fontId="18" fillId="24" borderId="0" xfId="3" applyNumberFormat="1" applyFont="1" applyFill="1" applyAlignment="1" applyProtection="1">
      <alignment horizontal="center"/>
    </xf>
    <xf numFmtId="0" fontId="18" fillId="24" borderId="0" xfId="0" applyFont="1" applyFill="1" applyProtection="1"/>
    <xf numFmtId="0" fontId="22" fillId="23" borderId="0" xfId="0" applyFont="1" applyFill="1" applyProtection="1"/>
    <xf numFmtId="0" fontId="17" fillId="24" borderId="0" xfId="0" applyFont="1" applyFill="1" applyBorder="1"/>
    <xf numFmtId="0" fontId="22" fillId="23" borderId="0" xfId="0" applyFont="1" applyFill="1"/>
    <xf numFmtId="165" fontId="18" fillId="25" borderId="3" xfId="3" applyNumberFormat="1" applyFont="1" applyFill="1" applyBorder="1" applyAlignment="1" applyProtection="1">
      <alignment horizontal="center"/>
      <protection locked="0"/>
    </xf>
    <xf numFmtId="164" fontId="18" fillId="24" borderId="0" xfId="3" applyFont="1" applyFill="1" applyBorder="1" applyAlignment="1">
      <alignment horizontal="center"/>
    </xf>
    <xf numFmtId="164" fontId="22" fillId="23" borderId="3" xfId="3" applyFont="1" applyFill="1" applyBorder="1" applyAlignment="1" applyProtection="1">
      <alignment horizontal="center"/>
    </xf>
    <xf numFmtId="165" fontId="18" fillId="24" borderId="3" xfId="3" applyNumberFormat="1" applyFont="1" applyFill="1" applyBorder="1" applyAlignment="1" applyProtection="1">
      <alignment horizontal="center"/>
    </xf>
    <xf numFmtId="165" fontId="18" fillId="0" borderId="3" xfId="3" applyNumberFormat="1" applyFont="1" applyFill="1" applyBorder="1" applyAlignment="1" applyProtection="1">
      <alignment horizontal="center"/>
      <protection locked="0"/>
    </xf>
    <xf numFmtId="0" fontId="22" fillId="23" borderId="3" xfId="3" applyNumberFormat="1" applyFont="1" applyFill="1" applyBorder="1" applyAlignment="1" applyProtection="1">
      <alignment horizontal="center"/>
    </xf>
    <xf numFmtId="0" fontId="17" fillId="24" borderId="3" xfId="0" applyNumberFormat="1" applyFont="1" applyFill="1" applyBorder="1" applyAlignment="1" applyProtection="1"/>
    <xf numFmtId="165" fontId="18" fillId="24" borderId="0" xfId="3" applyNumberFormat="1" applyFont="1" applyFill="1" applyProtection="1"/>
    <xf numFmtId="165" fontId="18" fillId="24" borderId="0" xfId="3" applyNumberFormat="1" applyFont="1" applyFill="1"/>
    <xf numFmtId="170" fontId="18" fillId="24" borderId="3" xfId="3" applyNumberFormat="1" applyFont="1" applyFill="1" applyBorder="1" applyAlignment="1" applyProtection="1">
      <alignment horizontal="center"/>
    </xf>
    <xf numFmtId="165" fontId="18" fillId="24" borderId="6" xfId="3" applyNumberFormat="1" applyFont="1" applyFill="1" applyBorder="1"/>
    <xf numFmtId="164" fontId="22" fillId="23" borderId="3" xfId="3" applyFont="1" applyFill="1" applyBorder="1" applyAlignment="1">
      <alignment horizontal="center"/>
    </xf>
    <xf numFmtId="165" fontId="18" fillId="24" borderId="0" xfId="0" applyNumberFormat="1" applyFont="1" applyFill="1" applyProtection="1"/>
    <xf numFmtId="166" fontId="18" fillId="24" borderId="3" xfId="16" applyNumberFormat="1" applyFont="1" applyFill="1" applyBorder="1" applyAlignment="1" applyProtection="1">
      <alignment horizontal="center"/>
    </xf>
    <xf numFmtId="0" fontId="22" fillId="23" borderId="3" xfId="3" applyNumberFormat="1" applyFont="1" applyFill="1" applyBorder="1" applyAlignment="1">
      <alignment horizontal="center"/>
    </xf>
    <xf numFmtId="0" fontId="27" fillId="29" borderId="0" xfId="0" applyFont="1" applyFill="1"/>
    <xf numFmtId="164" fontId="28" fillId="30" borderId="8" xfId="0" applyNumberFormat="1" applyFont="1" applyFill="1" applyBorder="1" applyAlignment="1">
      <alignment horizontal="center"/>
    </xf>
    <xf numFmtId="164" fontId="28" fillId="30" borderId="7" xfId="0" applyNumberFormat="1" applyFont="1" applyFill="1" applyBorder="1" applyAlignment="1">
      <alignment horizontal="center"/>
    </xf>
    <xf numFmtId="164" fontId="29" fillId="24" borderId="0" xfId="3" applyFont="1" applyFill="1" applyBorder="1" applyAlignment="1" applyProtection="1">
      <alignment horizontal="center"/>
      <protection locked="0"/>
    </xf>
    <xf numFmtId="164" fontId="19" fillId="24" borderId="12" xfId="3" applyFont="1" applyFill="1" applyBorder="1" applyAlignment="1">
      <alignment horizontal="center"/>
    </xf>
    <xf numFmtId="164" fontId="20" fillId="0" borderId="3" xfId="3" applyFont="1" applyFill="1" applyBorder="1" applyAlignment="1" applyProtection="1">
      <alignment vertical="center"/>
      <protection locked="0"/>
    </xf>
    <xf numFmtId="164" fontId="20" fillId="25" borderId="8" xfId="3" applyFont="1" applyFill="1" applyBorder="1" applyAlignment="1" applyProtection="1">
      <alignment horizontal="center" vertical="center"/>
      <protection locked="0"/>
    </xf>
    <xf numFmtId="164" fontId="20" fillId="0" borderId="3" xfId="3" applyFont="1" applyFill="1" applyBorder="1" applyAlignment="1">
      <alignment horizontal="center" vertical="center"/>
    </xf>
    <xf numFmtId="164" fontId="20" fillId="0" borderId="3" xfId="3" applyFont="1" applyFill="1" applyBorder="1" applyAlignment="1" applyProtection="1">
      <alignment horizontal="center" vertical="center"/>
      <protection locked="0"/>
    </xf>
    <xf numFmtId="0" fontId="19" fillId="24" borderId="12" xfId="0" applyFont="1" applyFill="1" applyBorder="1"/>
    <xf numFmtId="165" fontId="19" fillId="24" borderId="12" xfId="3" applyNumberFormat="1" applyFont="1" applyFill="1" applyBorder="1" applyAlignment="1">
      <alignment horizontal="center"/>
    </xf>
    <xf numFmtId="165" fontId="20" fillId="24" borderId="8" xfId="3" applyNumberFormat="1" applyFont="1" applyFill="1" applyBorder="1" applyAlignment="1" applyProtection="1">
      <alignment horizontal="center"/>
      <protection locked="0"/>
    </xf>
    <xf numFmtId="164" fontId="20" fillId="24" borderId="0" xfId="3" applyFont="1" applyFill="1" applyBorder="1" applyAlignment="1">
      <alignment horizontal="center"/>
    </xf>
    <xf numFmtId="165" fontId="20" fillId="25" borderId="8" xfId="3" applyNumberFormat="1" applyFont="1" applyFill="1" applyBorder="1" applyAlignment="1" applyProtection="1">
      <alignment horizontal="center" vertical="center"/>
      <protection locked="0"/>
    </xf>
    <xf numFmtId="43" fontId="18" fillId="24" borderId="3" xfId="3" applyNumberFormat="1" applyFont="1" applyFill="1" applyBorder="1" applyAlignment="1" applyProtection="1">
      <alignment horizontal="center"/>
    </xf>
    <xf numFmtId="166" fontId="20" fillId="24" borderId="3" xfId="3" applyNumberFormat="1" applyFont="1" applyFill="1" applyBorder="1" applyAlignment="1" applyProtection="1">
      <alignment horizontal="center"/>
    </xf>
    <xf numFmtId="164" fontId="20" fillId="24" borderId="3" xfId="3" applyFont="1" applyFill="1" applyBorder="1" applyAlignment="1" applyProtection="1">
      <alignment horizontal="center"/>
    </xf>
    <xf numFmtId="164" fontId="19" fillId="24" borderId="0" xfId="3" applyFont="1" applyFill="1" applyBorder="1" applyAlignment="1">
      <alignment horizontal="left" wrapText="1"/>
    </xf>
    <xf numFmtId="164" fontId="19" fillId="24" borderId="0" xfId="3" applyFont="1" applyFill="1" applyBorder="1" applyAlignment="1">
      <alignment horizontal="left"/>
    </xf>
    <xf numFmtId="0" fontId="27" fillId="29" borderId="9" xfId="0" applyFont="1" applyFill="1" applyBorder="1" applyAlignment="1">
      <alignment horizontal="center"/>
    </xf>
    <xf numFmtId="0" fontId="27" fillId="29" borderId="2" xfId="0" applyFont="1" applyFill="1" applyBorder="1" applyAlignment="1">
      <alignment horizontal="center"/>
    </xf>
    <xf numFmtId="0" fontId="27" fillId="29" borderId="6" xfId="0" applyFont="1" applyFill="1" applyBorder="1" applyAlignment="1">
      <alignment horizontal="center"/>
    </xf>
    <xf numFmtId="0" fontId="27" fillId="29" borderId="10" xfId="0" applyFont="1" applyFill="1" applyBorder="1" applyAlignment="1">
      <alignment horizontal="center"/>
    </xf>
    <xf numFmtId="0" fontId="27" fillId="29" borderId="11" xfId="0" applyFont="1" applyFill="1" applyBorder="1" applyAlignment="1">
      <alignment horizontal="center"/>
    </xf>
    <xf numFmtId="0" fontId="17" fillId="24" borderId="3" xfId="0" applyNumberFormat="1" applyFont="1" applyFill="1" applyBorder="1" applyAlignment="1" applyProtection="1">
      <alignment horizontal="center"/>
    </xf>
    <xf numFmtId="0" fontId="17" fillId="24" borderId="9" xfId="0" applyNumberFormat="1" applyFont="1" applyFill="1" applyBorder="1" applyAlignment="1" applyProtection="1">
      <alignment horizontal="center"/>
    </xf>
    <xf numFmtId="0" fontId="17" fillId="24" borderId="2" xfId="0" applyNumberFormat="1" applyFont="1" applyFill="1" applyBorder="1" applyAlignment="1" applyProtection="1">
      <alignment horizontal="center"/>
    </xf>
    <xf numFmtId="0" fontId="17" fillId="24" borderId="6" xfId="0" applyNumberFormat="1" applyFont="1" applyFill="1" applyBorder="1" applyAlignment="1" applyProtection="1">
      <alignment horizontal="center"/>
    </xf>
  </cellXfs>
  <cellStyles count="132">
    <cellStyle name="_Fleet Base" xfId="1"/>
    <cellStyle name="_Waxi Inv Analysis" xfId="2"/>
    <cellStyle name="Comma" xfId="3" builtinId="3"/>
    <cellStyle name="Comma 2" xfId="58"/>
    <cellStyle name="Comma0" xfId="4"/>
    <cellStyle name="Currency 2" xfId="59"/>
    <cellStyle name="Currency0" xfId="5"/>
    <cellStyle name="Date" xfId="6"/>
    <cellStyle name="Euro" xfId="7"/>
    <cellStyle name="Fixed" xfId="8"/>
    <cellStyle name="Followed Hyperlink" xfId="62"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Grey" xfId="9"/>
    <cellStyle name="header" xfId="10"/>
    <cellStyle name="Header1" xfId="11"/>
    <cellStyle name="Header2" xfId="12"/>
    <cellStyle name="Hyperlink" xfId="61"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Input [yellow]" xfId="13"/>
    <cellStyle name="Normal" xfId="0" builtinId="0"/>
    <cellStyle name="Normal - Style1" xfId="14"/>
    <cellStyle name="Normal 2" xfId="15"/>
    <cellStyle name="Normal 3" xfId="57"/>
    <cellStyle name="Normal 4" xfId="63"/>
    <cellStyle name="Percent" xfId="16" builtinId="5"/>
    <cellStyle name="Percent [2]" xfId="17"/>
    <cellStyle name="Percent 2" xfId="60"/>
    <cellStyle name="SAPBEXaggData" xfId="18"/>
    <cellStyle name="SAPBEXaggDataEmph" xfId="19"/>
    <cellStyle name="SAPBEXaggItem" xfId="20"/>
    <cellStyle name="SAPBEXaggItemX" xfId="21"/>
    <cellStyle name="SAPBEXchaText" xfId="22"/>
    <cellStyle name="SAPBEXexcBad7" xfId="23"/>
    <cellStyle name="SAPBEXexcBad8" xfId="24"/>
    <cellStyle name="SAPBEXexcBad9" xfId="25"/>
    <cellStyle name="SAPBEXexcCritical4" xfId="26"/>
    <cellStyle name="SAPBEXexcCritical5" xfId="27"/>
    <cellStyle name="SAPBEXexcCritical6" xfId="28"/>
    <cellStyle name="SAPBEXexcGood1" xfId="29"/>
    <cellStyle name="SAPBEXexcGood2" xfId="30"/>
    <cellStyle name="SAPBEXexcGood3" xfId="31"/>
    <cellStyle name="SAPBEXfilterDrill" xfId="32"/>
    <cellStyle name="SAPBEXfilterItem" xfId="33"/>
    <cellStyle name="SAPBEXfilterText" xfId="34"/>
    <cellStyle name="SAPBEXformats" xfId="35"/>
    <cellStyle name="SAPBEXheaderItem" xfId="36"/>
    <cellStyle name="SAPBEXheaderText" xfId="37"/>
    <cellStyle name="SAPBEXHLevel0" xfId="38"/>
    <cellStyle name="SAPBEXHLevel0X" xfId="39"/>
    <cellStyle name="SAPBEXHLevel1" xfId="40"/>
    <cellStyle name="SAPBEXHLevel1X" xfId="41"/>
    <cellStyle name="SAPBEXHLevel2" xfId="42"/>
    <cellStyle name="SAPBEXHLevel2X" xfId="43"/>
    <cellStyle name="SAPBEXHLevel3" xfId="44"/>
    <cellStyle name="SAPBEXHLevel3X" xfId="45"/>
    <cellStyle name="SAPBEXresData" xfId="46"/>
    <cellStyle name="SAPBEXresDataEmph" xfId="47"/>
    <cellStyle name="SAPBEXresItem" xfId="48"/>
    <cellStyle name="SAPBEXresItemX" xfId="49"/>
    <cellStyle name="SAPBEXstdData" xfId="50"/>
    <cellStyle name="SAPBEXstdDataEmph" xfId="51"/>
    <cellStyle name="SAPBEXstdItem" xfId="52"/>
    <cellStyle name="SAPBEXstdItemX" xfId="53"/>
    <cellStyle name="SAPBEXtitle" xfId="54"/>
    <cellStyle name="SAPBEXundefined" xfId="55"/>
    <cellStyle name="Style 1"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ctrlProps/ctrlProp1.xml><?xml version="1.0" encoding="utf-8"?>
<formControlPr xmlns="http://schemas.microsoft.com/office/spreadsheetml/2009/9/main" objectType="Scroll" dx="16" fmlaLink="$E$11" horiz="1" max="200" page="10" val="30"/>
</file>

<file path=xl/ctrlProps/ctrlProp2.xml><?xml version="1.0" encoding="utf-8"?>
<formControlPr xmlns="http://schemas.microsoft.com/office/spreadsheetml/2009/9/main" objectType="Scroll" dx="16" fmlaLink="$E$14" horiz="1" max="200" page="10" val="27"/>
</file>

<file path=xl/ctrlProps/ctrlProp3.xml><?xml version="1.0" encoding="utf-8"?>
<formControlPr xmlns="http://schemas.microsoft.com/office/spreadsheetml/2009/9/main" objectType="Scroll" dx="16" fmlaLink="$E$17" horiz="1" max="200" page="10" val="24"/>
</file>

<file path=xl/ctrlProps/ctrlProp4.xml><?xml version="1.0" encoding="utf-8"?>
<formControlPr xmlns="http://schemas.microsoft.com/office/spreadsheetml/2009/9/main" objectType="Scroll" dx="16" fmlaLink="$E$20" horiz="1" max="200" page="10" val="21"/>
</file>

<file path=xl/ctrlProps/ctrlProp5.xml><?xml version="1.0" encoding="utf-8"?>
<formControlPr xmlns="http://schemas.microsoft.com/office/spreadsheetml/2009/9/main" objectType="Drop" dropLines="138" dropStyle="combo" dx="16" fmlaLink="G29" fmlaRange="$B$7:$B$26" sel="8" val="0"/>
</file>

<file path=xl/ctrlProps/ctrlProp6.xml><?xml version="1.0" encoding="utf-8"?>
<formControlPr xmlns="http://schemas.microsoft.com/office/spreadsheetml/2009/9/main" objectType="Drop" dropLines="138" dropStyle="combo" dx="16" fmlaLink="G32" fmlaRange="$B$7:$B$26" sel="6" val="0"/>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4" Type="http://schemas.openxmlformats.org/officeDocument/2006/relationships/hyperlink" Target="#Home!A3"/><Relationship Id="rId1" Type="http://schemas.openxmlformats.org/officeDocument/2006/relationships/image" Target="../media/image1.jpg"/><Relationship Id="rId2" Type="http://schemas.openxmlformats.org/officeDocument/2006/relationships/hyperlink" Target="http://roi-team.u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ome!B4"/><Relationship Id="rId4" Type="http://schemas.openxmlformats.org/officeDocument/2006/relationships/hyperlink" Target="http://roi-team.us" TargetMode="External"/><Relationship Id="rId5" Type="http://schemas.openxmlformats.org/officeDocument/2006/relationships/image" Target="../media/image2.jpg"/><Relationship Id="rId1" Type="http://schemas.openxmlformats.org/officeDocument/2006/relationships/hyperlink" Target="#Cover!B4"/><Relationship Id="rId2" Type="http://schemas.openxmlformats.org/officeDocument/2006/relationships/hyperlink" Target="#Para!B3"/></Relationships>
</file>

<file path=xl/drawings/_rels/drawing3.xml.rels><?xml version="1.0" encoding="UTF-8" standalone="yes"?>
<Relationships xmlns="http://schemas.openxmlformats.org/package/2006/relationships"><Relationship Id="rId1" Type="http://schemas.openxmlformats.org/officeDocument/2006/relationships/hyperlink" Target="#Home!B4"/><Relationship Id="rId2" Type="http://schemas.openxmlformats.org/officeDocument/2006/relationships/hyperlink" Target="#Vol!B4"/></Relationships>
</file>

<file path=xl/drawings/_rels/drawing4.xml.rels><?xml version="1.0" encoding="UTF-8" standalone="yes"?>
<Relationships xmlns="http://schemas.openxmlformats.org/package/2006/relationships"><Relationship Id="rId1" Type="http://schemas.openxmlformats.org/officeDocument/2006/relationships/hyperlink" Target="#Para!C2"/><Relationship Id="rId2" Type="http://schemas.openxmlformats.org/officeDocument/2006/relationships/hyperlink" Target="#Bal!B5"/><Relationship Id="rId3" Type="http://schemas.openxmlformats.org/officeDocument/2006/relationships/hyperlink" Target="#Home!B4"/></Relationships>
</file>

<file path=xl/drawings/_rels/drawing5.xml.rels><?xml version="1.0" encoding="UTF-8" standalone="yes"?>
<Relationships xmlns="http://schemas.openxmlformats.org/package/2006/relationships"><Relationship Id="rId1" Type="http://schemas.openxmlformats.org/officeDocument/2006/relationships/hyperlink" Target="#Vol!B4"/><Relationship Id="rId2" Type="http://schemas.openxmlformats.org/officeDocument/2006/relationships/hyperlink" Target="#Inc!H44"/><Relationship Id="rId3" Type="http://schemas.openxmlformats.org/officeDocument/2006/relationships/hyperlink" Target="#Home!B4"/></Relationships>
</file>

<file path=xl/drawings/_rels/drawing6.xml.rels><?xml version="1.0" encoding="UTF-8" standalone="yes"?>
<Relationships xmlns="http://schemas.openxmlformats.org/package/2006/relationships"><Relationship Id="rId1" Type="http://schemas.openxmlformats.org/officeDocument/2006/relationships/hyperlink" Target="#Bal!B5"/><Relationship Id="rId2" Type="http://schemas.openxmlformats.org/officeDocument/2006/relationships/hyperlink" Target="#CF!B19"/><Relationship Id="rId3" Type="http://schemas.openxmlformats.org/officeDocument/2006/relationships/hyperlink" Target="#Home!B4"/></Relationships>
</file>

<file path=xl/drawings/_rels/drawing7.xml.rels><?xml version="1.0" encoding="UTF-8" standalone="yes"?>
<Relationships xmlns="http://schemas.openxmlformats.org/package/2006/relationships"><Relationship Id="rId1" Type="http://schemas.openxmlformats.org/officeDocument/2006/relationships/hyperlink" Target="#Inc!H45"/><Relationship Id="rId2" Type="http://schemas.openxmlformats.org/officeDocument/2006/relationships/hyperlink" Target="#Print!K4"/><Relationship Id="rId3" Type="http://schemas.openxmlformats.org/officeDocument/2006/relationships/hyperlink" Target="#Home!B4"/></Relationships>
</file>

<file path=xl/drawings/_rels/drawing8.xml.rels><?xml version="1.0" encoding="UTF-8" standalone="yes"?>
<Relationships xmlns="http://schemas.openxmlformats.org/package/2006/relationships"><Relationship Id="rId1" Type="http://schemas.openxmlformats.org/officeDocument/2006/relationships/hyperlink" Target="#CF!B19"/><Relationship Id="rId2" Type="http://schemas.openxmlformats.org/officeDocument/2006/relationships/hyperlink" Target="#Home!B4"/></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19</xdr:col>
      <xdr:colOff>126994</xdr:colOff>
      <xdr:row>55</xdr:row>
      <xdr:rowOff>63500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2"/>
          <a:ext cx="15811494" cy="10540998"/>
        </a:xfrm>
        <a:prstGeom prst="rect">
          <a:avLst/>
        </a:prstGeom>
      </xdr:spPr>
    </xdr:pic>
    <xdr:clientData/>
  </xdr:twoCellAnchor>
  <xdr:twoCellAnchor editAs="oneCell">
    <xdr:from>
      <xdr:col>14</xdr:col>
      <xdr:colOff>812800</xdr:colOff>
      <xdr:row>1</xdr:row>
      <xdr:rowOff>38100</xdr:rowOff>
    </xdr:from>
    <xdr:to>
      <xdr:col>18</xdr:col>
      <xdr:colOff>667658</xdr:colOff>
      <xdr:row>6</xdr:row>
      <xdr:rowOff>187778</xdr:rowOff>
    </xdr:to>
    <xdr:pic>
      <xdr:nvPicPr>
        <xdr:cNvPr id="4" name="Picture 3">
          <a:hlinkClick xmlns:r="http://schemas.openxmlformats.org/officeDocument/2006/relationships" r:id="rId2"/>
        </xdr:cNvPr>
        <xdr:cNvPicPr>
          <a:picLocks noChangeAspect="1"/>
        </xdr:cNvPicPr>
      </xdr:nvPicPr>
      <xdr:blipFill rotWithShape="1">
        <a:blip xmlns:r="http://schemas.openxmlformats.org/officeDocument/2006/relationships" r:embed="rId3">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2369800" y="228600"/>
          <a:ext cx="3156858" cy="1102178"/>
        </a:xfrm>
        <a:prstGeom prst="rect">
          <a:avLst/>
        </a:prstGeom>
      </xdr:spPr>
    </xdr:pic>
    <xdr:clientData/>
  </xdr:twoCellAnchor>
  <xdr:twoCellAnchor>
    <xdr:from>
      <xdr:col>0</xdr:col>
      <xdr:colOff>342900</xdr:colOff>
      <xdr:row>2</xdr:row>
      <xdr:rowOff>2</xdr:rowOff>
    </xdr:from>
    <xdr:to>
      <xdr:col>11</xdr:col>
      <xdr:colOff>457200</xdr:colOff>
      <xdr:row>7</xdr:row>
      <xdr:rowOff>63502</xdr:rowOff>
    </xdr:to>
    <xdr:grpSp>
      <xdr:nvGrpSpPr>
        <xdr:cNvPr id="13" name="Group 12"/>
        <xdr:cNvGrpSpPr/>
      </xdr:nvGrpSpPr>
      <xdr:grpSpPr>
        <a:xfrm>
          <a:off x="342900" y="381002"/>
          <a:ext cx="9194800" cy="1016000"/>
          <a:chOff x="839651" y="2072758"/>
          <a:chExt cx="8809062" cy="1016000"/>
        </a:xfrm>
      </xdr:grpSpPr>
      <xdr:grpSp>
        <xdr:nvGrpSpPr>
          <xdr:cNvPr id="14" name="Group 13"/>
          <xdr:cNvGrpSpPr/>
        </xdr:nvGrpSpPr>
        <xdr:grpSpPr>
          <a:xfrm>
            <a:off x="839651" y="2072758"/>
            <a:ext cx="8809062" cy="1016000"/>
            <a:chOff x="3549771" y="4294372"/>
            <a:chExt cx="5400736" cy="1016000"/>
          </a:xfrm>
        </xdr:grpSpPr>
        <xdr:sp macro="" textlink="">
          <xdr:nvSpPr>
            <xdr:cNvPr id="16" name="Rounded Rectangle 15"/>
            <xdr:cNvSpPr/>
          </xdr:nvSpPr>
          <xdr:spPr>
            <a:xfrm>
              <a:off x="3576133" y="4294372"/>
              <a:ext cx="5374374"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17" name="Rounded Rectangle 16"/>
            <xdr:cNvSpPr/>
          </xdr:nvSpPr>
          <xdr:spPr>
            <a:xfrm>
              <a:off x="3549771" y="4306186"/>
              <a:ext cx="5378357"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15" name="TextBox 14"/>
          <xdr:cNvSpPr txBox="1"/>
        </xdr:nvSpPr>
        <xdr:spPr>
          <a:xfrm>
            <a:off x="952500" y="2159000"/>
            <a:ext cx="8565881" cy="830997"/>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8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Start-Up Financial Statements</a:t>
            </a:r>
          </a:p>
        </xdr:txBody>
      </xdr:sp>
    </xdr:grpSp>
    <xdr:clientData/>
  </xdr:twoCellAnchor>
  <xdr:twoCellAnchor>
    <xdr:from>
      <xdr:col>5</xdr:col>
      <xdr:colOff>297120</xdr:colOff>
      <xdr:row>20</xdr:row>
      <xdr:rowOff>11816</xdr:rowOff>
    </xdr:from>
    <xdr:to>
      <xdr:col>12</xdr:col>
      <xdr:colOff>455572</xdr:colOff>
      <xdr:row>25</xdr:row>
      <xdr:rowOff>75316</xdr:rowOff>
    </xdr:to>
    <xdr:grpSp>
      <xdr:nvGrpSpPr>
        <xdr:cNvPr id="18" name="Group 17"/>
        <xdr:cNvGrpSpPr/>
      </xdr:nvGrpSpPr>
      <xdr:grpSpPr>
        <a:xfrm>
          <a:off x="4424620" y="3821816"/>
          <a:ext cx="5936952" cy="1016000"/>
          <a:chOff x="3549771" y="4294372"/>
          <a:chExt cx="5936952" cy="1016000"/>
        </a:xfrm>
      </xdr:grpSpPr>
      <xdr:grpSp>
        <xdr:nvGrpSpPr>
          <xdr:cNvPr id="19" name="Group 18"/>
          <xdr:cNvGrpSpPr/>
        </xdr:nvGrpSpPr>
        <xdr:grpSpPr>
          <a:xfrm>
            <a:off x="3549771" y="4294372"/>
            <a:ext cx="5936952" cy="1016000"/>
            <a:chOff x="3288117" y="4306186"/>
            <a:chExt cx="6186083" cy="1016000"/>
          </a:xfrm>
        </xdr:grpSpPr>
        <xdr:sp macro="" textlink="">
          <xdr:nvSpPr>
            <xdr:cNvPr id="21" name="Rounded Rectangle 20"/>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22" name="Rounded Rectangle 21"/>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20" name="TextBox 19">
            <a:hlinkClick xmlns:r="http://schemas.openxmlformats.org/officeDocument/2006/relationships" r:id="rId4"/>
          </xdr:cNvPr>
          <xdr:cNvSpPr txBox="1"/>
        </xdr:nvSpPr>
        <xdr:spPr>
          <a:xfrm>
            <a:off x="4102100" y="4394200"/>
            <a:ext cx="5076455" cy="769441"/>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4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Click Here to Start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1269999</xdr:rowOff>
    </xdr:from>
    <xdr:to>
      <xdr:col>14</xdr:col>
      <xdr:colOff>444499</xdr:colOff>
      <xdr:row>41</xdr:row>
      <xdr:rowOff>142875</xdr:rowOff>
    </xdr:to>
    <xdr:sp macro="" textlink="">
      <xdr:nvSpPr>
        <xdr:cNvPr id="8" name="TextBox 7"/>
        <xdr:cNvSpPr txBox="1"/>
      </xdr:nvSpPr>
      <xdr:spPr>
        <a:xfrm>
          <a:off x="444500" y="1269999"/>
          <a:ext cx="7604124" cy="6492876"/>
        </a:xfrm>
        <a:prstGeom prst="rect">
          <a:avLst/>
        </a:prstGeom>
        <a:solidFill>
          <a:schemeClr val="bg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900"/>
            </a:lnSpc>
            <a:spcAft>
              <a:spcPts val="1200"/>
            </a:spcAft>
          </a:pPr>
          <a:r>
            <a:rPr lang="en-US" sz="2000" b="1" i="1" u="sng">
              <a:solidFill>
                <a:sysClr val="windowText" lastClr="000000"/>
              </a:solidFill>
              <a:latin typeface="Arial"/>
              <a:cs typeface="Arial"/>
            </a:rPr>
            <a:t>Instructions</a:t>
          </a:r>
        </a:p>
        <a:p>
          <a:pPr>
            <a:lnSpc>
              <a:spcPts val="1900"/>
            </a:lnSpc>
            <a:spcAft>
              <a:spcPts val="1200"/>
            </a:spcAft>
          </a:pPr>
          <a:r>
            <a:rPr lang="en-US" sz="1800" b="0">
              <a:solidFill>
                <a:sysClr val="windowText" lastClr="000000"/>
              </a:solidFill>
              <a:latin typeface="Arial"/>
              <a:cs typeface="Arial"/>
            </a:rPr>
            <a:t>This tool is designed to organize</a:t>
          </a:r>
          <a:r>
            <a:rPr lang="en-US" sz="1800" b="0" baseline="0">
              <a:solidFill>
                <a:sysClr val="windowText" lastClr="000000"/>
              </a:solidFill>
              <a:latin typeface="Arial"/>
              <a:cs typeface="Arial"/>
            </a:rPr>
            <a:t> financials and perform basic calculations for a start up company / standalone operation with a single product. These are the type of financial statements that all bankers and  knowledgeable investors will need to see before they supply funding. </a:t>
          </a:r>
        </a:p>
        <a:p>
          <a:pPr>
            <a:lnSpc>
              <a:spcPts val="1900"/>
            </a:lnSpc>
            <a:spcAft>
              <a:spcPts val="1200"/>
            </a:spcAft>
          </a:pPr>
          <a:r>
            <a:rPr lang="en-US" sz="1800" b="0" baseline="0">
              <a:solidFill>
                <a:sysClr val="windowText" lastClr="000000"/>
              </a:solidFill>
              <a:latin typeface="Arial"/>
              <a:cs typeface="Arial"/>
            </a:rPr>
            <a:t>Instructions appear on each page. Use the navigation arrows to pages in the order shown:</a:t>
          </a:r>
        </a:p>
        <a:p>
          <a:pPr marL="342900" indent="-342900">
            <a:lnSpc>
              <a:spcPts val="1900"/>
            </a:lnSpc>
            <a:spcAft>
              <a:spcPts val="600"/>
            </a:spcAft>
            <a:buFont typeface="+mj-lt"/>
            <a:buAutoNum type="arabicPeriod"/>
          </a:pPr>
          <a:r>
            <a:rPr lang="en-US" sz="1800" b="0" baseline="0">
              <a:solidFill>
                <a:sysClr val="windowText" lastClr="000000"/>
              </a:solidFill>
              <a:latin typeface="Arial"/>
              <a:cs typeface="Arial"/>
            </a:rPr>
            <a:t>Set product fundamentals, calendar periods, fixed assets, loans, and other parameters</a:t>
          </a:r>
        </a:p>
        <a:p>
          <a:pPr marL="342900" indent="-342900">
            <a:lnSpc>
              <a:spcPts val="1900"/>
            </a:lnSpc>
            <a:spcAft>
              <a:spcPts val="600"/>
            </a:spcAft>
            <a:buFont typeface="+mj-lt"/>
            <a:buAutoNum type="arabicPeriod"/>
          </a:pPr>
          <a:r>
            <a:rPr lang="en-US" sz="1800" b="0" baseline="0">
              <a:solidFill>
                <a:sysClr val="windowText" lastClr="000000"/>
              </a:solidFill>
              <a:latin typeface="Arial"/>
              <a:cs typeface="Arial"/>
            </a:rPr>
            <a:t>Enter product volumes that drive revenue and cost, and corporate overhead items that drive cost on the P&amp;L</a:t>
          </a:r>
        </a:p>
        <a:p>
          <a:pPr marL="342900" indent="-342900">
            <a:lnSpc>
              <a:spcPts val="1900"/>
            </a:lnSpc>
            <a:spcAft>
              <a:spcPts val="600"/>
            </a:spcAft>
            <a:buFont typeface="+mj-lt"/>
            <a:buAutoNum type="arabicPeriod"/>
          </a:pPr>
          <a:r>
            <a:rPr lang="en-US" sz="1800" b="0" baseline="0">
              <a:solidFill>
                <a:sysClr val="windowText" lastClr="000000"/>
              </a:solidFill>
              <a:latin typeface="Arial"/>
              <a:cs typeface="Arial"/>
            </a:rPr>
            <a:t>Set Paid in Capital and other assets and review Balance Sheet</a:t>
          </a:r>
        </a:p>
        <a:p>
          <a:pPr marL="342900" indent="-342900">
            <a:lnSpc>
              <a:spcPts val="1900"/>
            </a:lnSpc>
            <a:spcAft>
              <a:spcPts val="600"/>
            </a:spcAft>
            <a:buFont typeface="+mj-lt"/>
            <a:buAutoNum type="arabicPeriod"/>
          </a:pPr>
          <a:r>
            <a:rPr lang="en-US" sz="1800" b="0" baseline="0">
              <a:solidFill>
                <a:sysClr val="windowText" lastClr="000000"/>
              </a:solidFill>
              <a:latin typeface="Arial"/>
              <a:cs typeface="Arial"/>
            </a:rPr>
            <a:t>Review P&amp;L</a:t>
          </a:r>
        </a:p>
        <a:p>
          <a:pPr marL="342900" indent="-342900">
            <a:lnSpc>
              <a:spcPts val="1900"/>
            </a:lnSpc>
            <a:spcAft>
              <a:spcPts val="600"/>
            </a:spcAft>
            <a:buFont typeface="+mj-lt"/>
            <a:buAutoNum type="arabicPeriod"/>
          </a:pPr>
          <a:r>
            <a:rPr lang="en-US" sz="1800" b="0" baseline="0">
              <a:solidFill>
                <a:sysClr val="windowText" lastClr="000000"/>
              </a:solidFill>
              <a:latin typeface="Arial"/>
              <a:cs typeface="Arial"/>
            </a:rPr>
            <a:t>Review Cash Flow (add dividends if appropriate)</a:t>
          </a:r>
        </a:p>
        <a:p>
          <a:pPr marL="342900" indent="-342900">
            <a:lnSpc>
              <a:spcPts val="1900"/>
            </a:lnSpc>
            <a:spcAft>
              <a:spcPts val="1200"/>
            </a:spcAft>
            <a:buFont typeface="+mj-lt"/>
            <a:buAutoNum type="arabicPeriod"/>
          </a:pPr>
          <a:r>
            <a:rPr lang="en-US" sz="1800" b="0" baseline="0">
              <a:solidFill>
                <a:sysClr val="windowText" lastClr="000000"/>
              </a:solidFill>
              <a:latin typeface="Arial"/>
              <a:cs typeface="Arial"/>
            </a:rPr>
            <a:t>Print out annual Financial Statements</a:t>
          </a:r>
        </a:p>
        <a:p>
          <a:pPr>
            <a:lnSpc>
              <a:spcPts val="1900"/>
            </a:lnSpc>
            <a:spcAft>
              <a:spcPts val="1200"/>
            </a:spcAft>
          </a:pPr>
          <a:r>
            <a:rPr lang="en-US" sz="1800" b="0" baseline="0">
              <a:solidFill>
                <a:sysClr val="windowText" lastClr="000000"/>
              </a:solidFill>
              <a:latin typeface="Arial"/>
              <a:cs typeface="Arial"/>
            </a:rPr>
            <a:t>Clicking the 'Home' button on any page or the 'End' button on the last page will return you to this page. Special features of this tool: </a:t>
          </a:r>
        </a:p>
        <a:p>
          <a:pPr marL="285750" indent="-285750">
            <a:lnSpc>
              <a:spcPts val="1800"/>
            </a:lnSpc>
            <a:spcAft>
              <a:spcPts val="600"/>
            </a:spcAft>
            <a:buFont typeface="Courier New"/>
            <a:buChar char="o"/>
          </a:pPr>
          <a:r>
            <a:rPr lang="en-US" sz="1800" b="0" baseline="0">
              <a:solidFill>
                <a:sysClr val="windowText" lastClr="000000"/>
              </a:solidFill>
              <a:latin typeface="Arial"/>
              <a:cs typeface="Arial"/>
            </a:rPr>
            <a:t>Profit After Tax is automatically transferred to Retained Earnings.</a:t>
          </a:r>
        </a:p>
        <a:p>
          <a:pPr marL="285750" indent="-285750">
            <a:lnSpc>
              <a:spcPts val="1800"/>
            </a:lnSpc>
            <a:buFont typeface="Courier New"/>
            <a:buChar char="o"/>
          </a:pPr>
          <a:r>
            <a:rPr lang="en-US" sz="1800" b="0" baseline="0">
              <a:solidFill>
                <a:sysClr val="windowText" lastClr="000000"/>
              </a:solidFill>
              <a:latin typeface="Arial"/>
              <a:cs typeface="Arial"/>
            </a:rPr>
            <a:t>Cash from the Cash Flow page is used to keep the Balance Sheet balanced.</a:t>
          </a:r>
          <a:endParaRPr lang="en-US" sz="1800" b="0">
            <a:solidFill>
              <a:sysClr val="windowText" lastClr="000000"/>
            </a:solidFill>
            <a:latin typeface="Arial"/>
            <a:cs typeface="Arial"/>
          </a:endParaRPr>
        </a:p>
      </xdr:txBody>
    </xdr:sp>
    <xdr:clientData/>
  </xdr:twoCellAnchor>
  <xdr:twoCellAnchor>
    <xdr:from>
      <xdr:col>0</xdr:col>
      <xdr:colOff>0</xdr:colOff>
      <xdr:row>0</xdr:row>
      <xdr:rowOff>158750</xdr:rowOff>
    </xdr:from>
    <xdr:to>
      <xdr:col>24</xdr:col>
      <xdr:colOff>31750</xdr:colOff>
      <xdr:row>0</xdr:row>
      <xdr:rowOff>866636</xdr:rowOff>
    </xdr:to>
    <xdr:grpSp>
      <xdr:nvGrpSpPr>
        <xdr:cNvPr id="5" name="Group 4"/>
        <xdr:cNvGrpSpPr/>
      </xdr:nvGrpSpPr>
      <xdr:grpSpPr>
        <a:xfrm>
          <a:off x="0" y="158750"/>
          <a:ext cx="14303375" cy="707886"/>
          <a:chOff x="0" y="158750"/>
          <a:chExt cx="14303375" cy="707886"/>
        </a:xfrm>
      </xdr:grpSpPr>
      <xdr:sp macro="" textlink="">
        <xdr:nvSpPr>
          <xdr:cNvPr id="19" name="TextBox 18"/>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Quick Financial Statements</a:t>
            </a:r>
          </a:p>
        </xdr:txBody>
      </xdr:sp>
      <xdr:grpSp>
        <xdr:nvGrpSpPr>
          <xdr:cNvPr id="20" name="Group 19"/>
          <xdr:cNvGrpSpPr/>
        </xdr:nvGrpSpPr>
        <xdr:grpSpPr>
          <a:xfrm>
            <a:off x="10302875" y="158750"/>
            <a:ext cx="4000500" cy="603250"/>
            <a:chOff x="1231900" y="2944298"/>
            <a:chExt cx="4330700" cy="719667"/>
          </a:xfrm>
        </xdr:grpSpPr>
        <xdr:grpSp>
          <xdr:nvGrpSpPr>
            <xdr:cNvPr id="21" name="Group 20"/>
            <xdr:cNvGrpSpPr/>
          </xdr:nvGrpSpPr>
          <xdr:grpSpPr>
            <a:xfrm>
              <a:off x="1231900" y="2944298"/>
              <a:ext cx="4330700" cy="719667"/>
              <a:chOff x="1231900" y="3987800"/>
              <a:chExt cx="4330700" cy="719667"/>
            </a:xfrm>
          </xdr:grpSpPr>
          <xdr:sp macro="" textlink="">
            <xdr:nvSpPr>
              <xdr:cNvPr id="25" name="Left-Right Arrow 2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6" name="Group 25"/>
              <xdr:cNvGrpSpPr/>
            </xdr:nvGrpSpPr>
            <xdr:grpSpPr>
              <a:xfrm>
                <a:off x="1231900" y="3987800"/>
                <a:ext cx="4330700" cy="719667"/>
                <a:chOff x="1231900" y="3987800"/>
                <a:chExt cx="4330700" cy="863600"/>
              </a:xfrm>
            </xdr:grpSpPr>
            <xdr:sp macro="" textlink="">
              <xdr:nvSpPr>
                <xdr:cNvPr id="27" name="Left-Right Arrow 2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4" name="Straight Connector 3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5" name="Straight Connector 3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2" name="TextBox 2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Cover</a:t>
              </a:r>
            </a:p>
          </xdr:txBody>
        </xdr:sp>
        <xdr:sp macro="" textlink="">
          <xdr:nvSpPr>
            <xdr:cNvPr id="23" name="TextBox 22">
              <a:hlinkClick xmlns:r="http://schemas.openxmlformats.org/officeDocument/2006/relationships" r:id="rId2"/>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Start</a:t>
              </a:r>
            </a:p>
          </xdr:txBody>
        </xdr:sp>
        <xdr:sp macro="" textlink="">
          <xdr:nvSpPr>
            <xdr:cNvPr id="24" name="TextBox 23">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twoCellAnchor>
    <xdr:from>
      <xdr:col>15</xdr:col>
      <xdr:colOff>238125</xdr:colOff>
      <xdr:row>1</xdr:row>
      <xdr:rowOff>0</xdr:rowOff>
    </xdr:from>
    <xdr:to>
      <xdr:col>25</xdr:col>
      <xdr:colOff>607579</xdr:colOff>
      <xdr:row>31</xdr:row>
      <xdr:rowOff>15875</xdr:rowOff>
    </xdr:to>
    <xdr:grpSp>
      <xdr:nvGrpSpPr>
        <xdr:cNvPr id="29" name="Group 28"/>
        <xdr:cNvGrpSpPr/>
      </xdr:nvGrpSpPr>
      <xdr:grpSpPr>
        <a:xfrm>
          <a:off x="8509000" y="1270000"/>
          <a:ext cx="7036954" cy="4778375"/>
          <a:chOff x="7366000" y="1301751"/>
          <a:chExt cx="7036954" cy="4778375"/>
        </a:xfrm>
      </xdr:grpSpPr>
      <xdr:sp macro="" textlink="">
        <xdr:nvSpPr>
          <xdr:cNvPr id="30" name="TextBox 29"/>
          <xdr:cNvSpPr txBox="1"/>
        </xdr:nvSpPr>
        <xdr:spPr>
          <a:xfrm>
            <a:off x="7366000" y="1301751"/>
            <a:ext cx="7036954" cy="477837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ROI-Team offers a valuable step-by-step toolkit for entrepreneurs, some for free. Not quite free is a heavy-duty version of this start-up tool, which includes analysis and business case tools very useful in raising capital.</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Check them out on our web site:</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No warranty is expressed or implied about the suitability of these tools to your situation, and we recommend professional legal and accounting advice if your situation is complex or uncertain.</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Copyright © 2007 - 2018 by ROI-Team, Inc.  All rights reserved.</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xdr:txBody>
      </xdr:sp>
      <xdr:pic>
        <xdr:nvPicPr>
          <xdr:cNvPr id="31" name="Picture 30">
            <a:hlinkClick xmlns:r="http://schemas.openxmlformats.org/officeDocument/2006/relationships" r:id="rId4"/>
          </xdr:cNvPr>
          <xdr:cNvPicPr>
            <a:picLocks noChangeAspect="1"/>
          </xdr:cNvPicPr>
        </xdr:nvPicPr>
        <xdr:blipFill rotWithShape="1">
          <a:blip xmlns:r="http://schemas.openxmlformats.org/officeDocument/2006/relationships" r:embed="rId5">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9159875" y="3095626"/>
            <a:ext cx="3156858" cy="1102178"/>
          </a:xfrm>
          <a:prstGeom prst="rect">
            <a:avLst/>
          </a:prstGeom>
        </xdr:spPr>
      </xdr:pic>
    </xdr:grpSp>
    <xdr:clientData/>
  </xdr:twoCellAnchor>
  <xdr:twoCellAnchor>
    <xdr:from>
      <xdr:col>20</xdr:col>
      <xdr:colOff>95250</xdr:colOff>
      <xdr:row>0</xdr:row>
      <xdr:rowOff>254000</xdr:rowOff>
    </xdr:from>
    <xdr:to>
      <xdr:col>21</xdr:col>
      <xdr:colOff>635000</xdr:colOff>
      <xdr:row>0</xdr:row>
      <xdr:rowOff>666750</xdr:rowOff>
    </xdr:to>
    <xdr:sp macro="" textlink="">
      <xdr:nvSpPr>
        <xdr:cNvPr id="2" name="Rectangle 1"/>
        <xdr:cNvSpPr/>
      </xdr:nvSpPr>
      <xdr:spPr>
        <a:xfrm>
          <a:off x="11699875" y="254000"/>
          <a:ext cx="1206500" cy="412750"/>
        </a:xfrm>
        <a:prstGeom prst="rect">
          <a:avLst/>
        </a:prstGeom>
        <a:solidFill>
          <a:schemeClr val="bg1">
            <a:lumMod val="50000"/>
            <a:alpha val="40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428625</xdr:colOff>
      <xdr:row>4</xdr:row>
      <xdr:rowOff>31751</xdr:rowOff>
    </xdr:from>
    <xdr:to>
      <xdr:col>1</xdr:col>
      <xdr:colOff>4333875</xdr:colOff>
      <xdr:row>29</xdr:row>
      <xdr:rowOff>47626</xdr:rowOff>
    </xdr:to>
    <xdr:sp macro="" textlink="">
      <xdr:nvSpPr>
        <xdr:cNvPr id="2" name="TextBox 1"/>
        <xdr:cNvSpPr txBox="1"/>
      </xdr:nvSpPr>
      <xdr:spPr>
        <a:xfrm>
          <a:off x="428625" y="2397126"/>
          <a:ext cx="4349750" cy="7270750"/>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1200"/>
            </a:spcAft>
            <a:buClrTx/>
            <a:buSzTx/>
            <a:buFontTx/>
            <a:buNone/>
            <a:tabLst/>
            <a:defRPr/>
          </a:pPr>
          <a:r>
            <a:rPr lang="en-US" sz="2000" b="1" i="1" u="sng">
              <a:solidFill>
                <a:sysClr val="windowText" lastClr="000000"/>
              </a:solidFill>
              <a:latin typeface="Arial"/>
              <a:cs typeface="Arial"/>
            </a:rPr>
            <a:t>Instructions</a:t>
          </a:r>
          <a:endParaRPr lang="en-US" sz="1800" b="0">
            <a:solidFill>
              <a:sysClr val="windowText" lastClr="000000"/>
            </a:solidFill>
            <a:latin typeface="Arial"/>
            <a:cs typeface="Arial"/>
          </a:endParaRPr>
        </a:p>
        <a:p>
          <a:pPr marL="0" marR="0" indent="0" defTabSz="914400" eaLnBrk="1" fontAlgn="auto" latinLnBrk="0" hangingPunct="1">
            <a:lnSpc>
              <a:spcPct val="100000"/>
            </a:lnSpc>
            <a:spcBef>
              <a:spcPts val="0"/>
            </a:spcBef>
            <a:spcAft>
              <a:spcPts val="600"/>
            </a:spcAft>
            <a:buClrTx/>
            <a:buSzTx/>
            <a:buFontTx/>
            <a:buNone/>
            <a:tabLst/>
            <a:defRPr/>
          </a:pPr>
          <a:r>
            <a:rPr lang="en-US" sz="1800" b="0">
              <a:solidFill>
                <a:sysClr val="windowText" lastClr="000000"/>
              </a:solidFill>
              <a:latin typeface="Arial"/>
              <a:cs typeface="Arial"/>
            </a:rPr>
            <a:t>In the white cells, enter:</a:t>
          </a:r>
          <a:endParaRPr lang="en-US" sz="1800" b="0" baseline="0">
            <a:solidFill>
              <a:sysClr val="windowText" lastClr="000000"/>
            </a:solidFill>
            <a:latin typeface="Arial"/>
            <a:cs typeface="Arial"/>
          </a:endParaRP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Company name</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Product name</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Unit price</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Unit cost elements</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First year</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Tax rate (use slider)</a:t>
          </a:r>
        </a:p>
        <a:p>
          <a:pPr marL="285750" marR="0" indent="-285750" defTabSz="914400" eaLnBrk="1" fontAlgn="auto" latinLnBrk="0" hangingPunct="1">
            <a:lnSpc>
              <a:spcPct val="100000"/>
            </a:lnSpc>
            <a:spcBef>
              <a:spcPts val="0"/>
            </a:spcBef>
            <a:spcAft>
              <a:spcPts val="0"/>
            </a:spcAft>
            <a:buClrTx/>
            <a:buSzTx/>
            <a:buFont typeface="Courier New"/>
            <a:buChar char="o"/>
            <a:tabLst/>
            <a:defRPr/>
          </a:pPr>
          <a:r>
            <a:rPr lang="en-US" sz="1800" b="0" baseline="0">
              <a:solidFill>
                <a:sysClr val="windowText" lastClr="000000"/>
              </a:solidFill>
              <a:latin typeface="Arial"/>
              <a:cs typeface="Arial"/>
            </a:rPr>
            <a:t>Interest Rate to drive Interest expense on the P&amp;L</a:t>
          </a:r>
        </a:p>
        <a:p>
          <a:pPr marL="285750" marR="0" indent="-285750" defTabSz="914400" eaLnBrk="1" fontAlgn="auto" latinLnBrk="0" hangingPunct="1">
            <a:lnSpc>
              <a:spcPct val="100000"/>
            </a:lnSpc>
            <a:spcBef>
              <a:spcPts val="0"/>
            </a:spcBef>
            <a:spcAft>
              <a:spcPts val="1200"/>
            </a:spcAft>
            <a:buClrTx/>
            <a:buSzTx/>
            <a:buFont typeface="Courier New"/>
            <a:buChar char="o"/>
            <a:tabLst/>
            <a:defRPr/>
          </a:pPr>
          <a:r>
            <a:rPr lang="en-US" sz="1800" b="0" baseline="0">
              <a:solidFill>
                <a:sysClr val="windowText" lastClr="000000"/>
              </a:solidFill>
              <a:latin typeface="Arial"/>
              <a:cs typeface="Arial"/>
            </a:rPr>
            <a:t>Depreciation Years to drive depreciation on the P&amp;L</a:t>
          </a:r>
        </a:p>
        <a:p>
          <a:pPr>
            <a:spcAft>
              <a:spcPts val="600"/>
            </a:spcAft>
          </a:pPr>
          <a:r>
            <a:rPr lang="en-US" sz="1800" b="0" baseline="0">
              <a:solidFill>
                <a:sysClr val="windowText" lastClr="000000"/>
              </a:solidFill>
              <a:latin typeface="Arial"/>
              <a:cs typeface="Arial"/>
            </a:rPr>
            <a:t>Interest and depreciation will be spread automatically.</a:t>
          </a:r>
        </a:p>
        <a:p>
          <a:pPr>
            <a:spcAft>
              <a:spcPts val="600"/>
            </a:spcAft>
          </a:pPr>
          <a:r>
            <a:rPr lang="en-US" sz="1800" b="0" baseline="0">
              <a:solidFill>
                <a:sysClr val="windowText" lastClr="000000"/>
              </a:solidFill>
              <a:latin typeface="Arial"/>
              <a:cs typeface="Arial"/>
            </a:rPr>
            <a:t>Use sliders to enter ratios to drive the Balance Sheet </a:t>
          </a:r>
        </a:p>
        <a:p>
          <a:pPr marL="285750" indent="-285750">
            <a:buFont typeface="Courier New"/>
            <a:buChar char="o"/>
          </a:pPr>
          <a:r>
            <a:rPr lang="en-US" sz="1800" b="0" baseline="0">
              <a:solidFill>
                <a:sysClr val="windowText" lastClr="000000"/>
              </a:solidFill>
              <a:latin typeface="Arial"/>
              <a:cs typeface="Arial"/>
            </a:rPr>
            <a:t>A/R (Accounts Receivable)</a:t>
          </a:r>
        </a:p>
        <a:p>
          <a:pPr marL="285750" indent="-285750">
            <a:buFont typeface="Courier New"/>
            <a:buChar char="o"/>
          </a:pPr>
          <a:r>
            <a:rPr lang="en-US" sz="1800" b="0" baseline="0">
              <a:solidFill>
                <a:sysClr val="windowText" lastClr="000000"/>
              </a:solidFill>
              <a:latin typeface="Arial"/>
              <a:cs typeface="Arial"/>
            </a:rPr>
            <a:t>Inventory</a:t>
          </a:r>
        </a:p>
        <a:p>
          <a:pPr marL="285750" indent="-285750">
            <a:spcAft>
              <a:spcPts val="1200"/>
            </a:spcAft>
            <a:buFont typeface="Courier New"/>
            <a:buChar char="o"/>
          </a:pPr>
          <a:r>
            <a:rPr lang="en-US" sz="1800" b="0" baseline="0">
              <a:solidFill>
                <a:sysClr val="windowText" lastClr="000000"/>
              </a:solidFill>
              <a:latin typeface="Arial"/>
              <a:cs typeface="Arial"/>
            </a:rPr>
            <a:t>A/P (Accounts Payable)</a:t>
          </a:r>
        </a:p>
        <a:p>
          <a:r>
            <a:rPr lang="en-US" sz="1800" b="0" baseline="0">
              <a:solidFill>
                <a:sysClr val="windowText" lastClr="000000"/>
              </a:solidFill>
              <a:latin typeface="Arial"/>
              <a:cs typeface="Arial"/>
            </a:rPr>
            <a:t>Enter asset and loan names, amounts, and dates (use slider). Assets and Notes will be spread automatically.</a:t>
          </a:r>
        </a:p>
      </xdr:txBody>
    </xdr:sp>
    <xdr:clientData/>
  </xdr:twoCellAnchor>
  <mc:AlternateContent xmlns:mc="http://schemas.openxmlformats.org/markup-compatibility/2006">
    <mc:Choice xmlns:a14="http://schemas.microsoft.com/office/drawing/2010/main" Requires="a14">
      <xdr:twoCellAnchor editAs="oneCell">
        <xdr:from>
          <xdr:col>4</xdr:col>
          <xdr:colOff>12700</xdr:colOff>
          <xdr:row>9</xdr:row>
          <xdr:rowOff>228600</xdr:rowOff>
        </xdr:from>
        <xdr:to>
          <xdr:col>5</xdr:col>
          <xdr:colOff>0</xdr:colOff>
          <xdr:row>10</xdr:row>
          <xdr:rowOff>254000</xdr:rowOff>
        </xdr:to>
        <xdr:sp macro="" textlink="">
          <xdr:nvSpPr>
            <xdr:cNvPr id="1047" name="Scroll Bar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xdr:row>
          <xdr:rowOff>241300</xdr:rowOff>
        </xdr:from>
        <xdr:to>
          <xdr:col>5</xdr:col>
          <xdr:colOff>0</xdr:colOff>
          <xdr:row>13</xdr:row>
          <xdr:rowOff>266700</xdr:rowOff>
        </xdr:to>
        <xdr:sp macro="" textlink="">
          <xdr:nvSpPr>
            <xdr:cNvPr id="1054" name="Scroll Bar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15</xdr:row>
          <xdr:rowOff>241300</xdr:rowOff>
        </xdr:from>
        <xdr:to>
          <xdr:col>5</xdr:col>
          <xdr:colOff>0</xdr:colOff>
          <xdr:row>16</xdr:row>
          <xdr:rowOff>266700</xdr:rowOff>
        </xdr:to>
        <xdr:sp macro="" textlink="">
          <xdr:nvSpPr>
            <xdr:cNvPr id="1055" name="Scroll Bar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18</xdr:row>
          <xdr:rowOff>203200</xdr:rowOff>
        </xdr:from>
        <xdr:to>
          <xdr:col>5</xdr:col>
          <xdr:colOff>0</xdr:colOff>
          <xdr:row>19</xdr:row>
          <xdr:rowOff>241300</xdr:rowOff>
        </xdr:to>
        <xdr:sp macro="" textlink="">
          <xdr:nvSpPr>
            <xdr:cNvPr id="1056" name="Scroll Bar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28</xdr:row>
          <xdr:rowOff>25400</xdr:rowOff>
        </xdr:from>
        <xdr:to>
          <xdr:col>7</xdr:col>
          <xdr:colOff>0</xdr:colOff>
          <xdr:row>28</xdr:row>
          <xdr:rowOff>266700</xdr:rowOff>
        </xdr:to>
        <xdr:sp macro="" textlink="">
          <xdr:nvSpPr>
            <xdr:cNvPr id="1069" name="Drop Down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31</xdr:row>
          <xdr:rowOff>25400</xdr:rowOff>
        </xdr:from>
        <xdr:to>
          <xdr:col>7</xdr:col>
          <xdr:colOff>0</xdr:colOff>
          <xdr:row>31</xdr:row>
          <xdr:rowOff>266700</xdr:rowOff>
        </xdr:to>
        <xdr:sp macro="" textlink="">
          <xdr:nvSpPr>
            <xdr:cNvPr id="1085" name="Drop Down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xdr:twoCellAnchor>
    <xdr:from>
      <xdr:col>0</xdr:col>
      <xdr:colOff>0</xdr:colOff>
      <xdr:row>0</xdr:row>
      <xdr:rowOff>158750</xdr:rowOff>
    </xdr:from>
    <xdr:to>
      <xdr:col>11</xdr:col>
      <xdr:colOff>523875</xdr:colOff>
      <xdr:row>0</xdr:row>
      <xdr:rowOff>866636</xdr:rowOff>
    </xdr:to>
    <xdr:grpSp>
      <xdr:nvGrpSpPr>
        <xdr:cNvPr id="51" name="Group 50"/>
        <xdr:cNvGrpSpPr/>
      </xdr:nvGrpSpPr>
      <xdr:grpSpPr>
        <a:xfrm>
          <a:off x="0" y="158750"/>
          <a:ext cx="14303375" cy="707886"/>
          <a:chOff x="0" y="158750"/>
          <a:chExt cx="14303375" cy="707886"/>
        </a:xfrm>
      </xdr:grpSpPr>
      <xdr:sp macro="" textlink="">
        <xdr:nvSpPr>
          <xdr:cNvPr id="52" name="TextBox 51"/>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Parameters</a:t>
            </a:r>
          </a:p>
        </xdr:txBody>
      </xdr:sp>
      <xdr:grpSp>
        <xdr:nvGrpSpPr>
          <xdr:cNvPr id="53" name="Group 52"/>
          <xdr:cNvGrpSpPr/>
        </xdr:nvGrpSpPr>
        <xdr:grpSpPr>
          <a:xfrm>
            <a:off x="10302875" y="158750"/>
            <a:ext cx="4000500" cy="603250"/>
            <a:chOff x="1231900" y="2944298"/>
            <a:chExt cx="4330700" cy="719667"/>
          </a:xfrm>
        </xdr:grpSpPr>
        <xdr:grpSp>
          <xdr:nvGrpSpPr>
            <xdr:cNvPr id="54" name="Group 53"/>
            <xdr:cNvGrpSpPr/>
          </xdr:nvGrpSpPr>
          <xdr:grpSpPr>
            <a:xfrm>
              <a:off x="1231900" y="2944298"/>
              <a:ext cx="4330700" cy="719667"/>
              <a:chOff x="1231900" y="3987800"/>
              <a:chExt cx="4330700" cy="719667"/>
            </a:xfrm>
          </xdr:grpSpPr>
          <xdr:sp macro="" textlink="">
            <xdr:nvSpPr>
              <xdr:cNvPr id="58" name="Left-Right Arrow 57"/>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59" name="Group 58"/>
              <xdr:cNvGrpSpPr/>
            </xdr:nvGrpSpPr>
            <xdr:grpSpPr>
              <a:xfrm>
                <a:off x="1231900" y="3987800"/>
                <a:ext cx="4330700" cy="719667"/>
                <a:chOff x="1231900" y="3987800"/>
                <a:chExt cx="4330700" cy="863600"/>
              </a:xfrm>
            </xdr:grpSpPr>
            <xdr:sp macro="" textlink="">
              <xdr:nvSpPr>
                <xdr:cNvPr id="60" name="Left-Right Arrow 59"/>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61" name="Straight Connector 60"/>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62" name="Straight Connector 61"/>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55" name="TextBox 54">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56" name="TextBox 55">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57" name="TextBox 56">
              <a:hlinkClick xmlns:r="http://schemas.openxmlformats.org/officeDocument/2006/relationships" r:id="rId1"/>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340179</xdr:colOff>
      <xdr:row>0</xdr:row>
      <xdr:rowOff>102055</xdr:rowOff>
    </xdr:from>
    <xdr:to>
      <xdr:col>23</xdr:col>
      <xdr:colOff>219982</xdr:colOff>
      <xdr:row>0</xdr:row>
      <xdr:rowOff>1186090</xdr:rowOff>
    </xdr:to>
    <xdr:sp macro="" textlink="">
      <xdr:nvSpPr>
        <xdr:cNvPr id="2" name="TextBox 1"/>
        <xdr:cNvSpPr txBox="1"/>
      </xdr:nvSpPr>
      <xdr:spPr>
        <a:xfrm>
          <a:off x="14754679" y="102055"/>
          <a:ext cx="3880303" cy="1084035"/>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b="1">
              <a:solidFill>
                <a:sysClr val="windowText" lastClr="000000"/>
              </a:solidFill>
            </a:rPr>
            <a:t>Enter the unit sales by quarter for up to 5 years. Everything else will be calculated using the price</a:t>
          </a:r>
          <a:r>
            <a:rPr lang="en-US" sz="1600" b="1" baseline="0">
              <a:solidFill>
                <a:sysClr val="windowText" lastClr="000000"/>
              </a:solidFill>
            </a:rPr>
            <a:t> and cost information entered on the Parameters (Para) page.</a:t>
          </a:r>
          <a:endParaRPr lang="en-US" sz="1600" b="1">
            <a:solidFill>
              <a:sysClr val="windowText" lastClr="000000"/>
            </a:solidFill>
          </a:endParaRPr>
        </a:p>
      </xdr:txBody>
    </xdr:sp>
    <xdr:clientData/>
  </xdr:twoCellAnchor>
  <xdr:twoCellAnchor>
    <xdr:from>
      <xdr:col>0</xdr:col>
      <xdr:colOff>0</xdr:colOff>
      <xdr:row>0</xdr:row>
      <xdr:rowOff>158750</xdr:rowOff>
    </xdr:from>
    <xdr:to>
      <xdr:col>16</xdr:col>
      <xdr:colOff>555625</xdr:colOff>
      <xdr:row>0</xdr:row>
      <xdr:rowOff>866636</xdr:rowOff>
    </xdr:to>
    <xdr:grpSp>
      <xdr:nvGrpSpPr>
        <xdr:cNvPr id="7" name="Group 6"/>
        <xdr:cNvGrpSpPr/>
      </xdr:nvGrpSpPr>
      <xdr:grpSpPr>
        <a:xfrm>
          <a:off x="0" y="158750"/>
          <a:ext cx="14303375" cy="707886"/>
          <a:chOff x="0" y="158750"/>
          <a:chExt cx="14303375" cy="707886"/>
        </a:xfrm>
      </xdr:grpSpPr>
      <xdr:sp macro="" textlink="">
        <xdr:nvSpPr>
          <xdr:cNvPr id="8" name="TextBox 7"/>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Volumes</a:t>
            </a:r>
          </a:p>
        </xdr:txBody>
      </xdr:sp>
      <xdr:grpSp>
        <xdr:nvGrpSpPr>
          <xdr:cNvPr id="9" name="Group 8"/>
          <xdr:cNvGrpSpPr/>
        </xdr:nvGrpSpPr>
        <xdr:grpSpPr>
          <a:xfrm>
            <a:off x="10302875" y="15875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3" name="TextBox 12">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twoCellAnchor>
    <xdr:from>
      <xdr:col>17</xdr:col>
      <xdr:colOff>442232</xdr:colOff>
      <xdr:row>9</xdr:row>
      <xdr:rowOff>154215</xdr:rowOff>
    </xdr:from>
    <xdr:to>
      <xdr:col>23</xdr:col>
      <xdr:colOff>269876</xdr:colOff>
      <xdr:row>11</xdr:row>
      <xdr:rowOff>746125</xdr:rowOff>
    </xdr:to>
    <xdr:sp macro="" textlink="">
      <xdr:nvSpPr>
        <xdr:cNvPr id="19" name="TextBox 18"/>
        <xdr:cNvSpPr txBox="1"/>
      </xdr:nvSpPr>
      <xdr:spPr>
        <a:xfrm>
          <a:off x="14856732" y="3138715"/>
          <a:ext cx="3828144" cy="909410"/>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indent="0"/>
          <a:r>
            <a:rPr lang="en-US" sz="1600" b="1">
              <a:solidFill>
                <a:sysClr val="windowText" lastClr="000000"/>
              </a:solidFill>
              <a:latin typeface="+mn-lt"/>
              <a:ea typeface="+mn-ea"/>
              <a:cs typeface="+mn-cs"/>
            </a:rPr>
            <a:t>Enter names and amounts for any lines that drive costs. These will be applied directly to the P&amp;L.</a:t>
          </a:r>
        </a:p>
      </xdr:txBody>
    </xdr:sp>
    <xdr:clientData/>
  </xdr:twoCellAnchor>
  <xdr:twoCellAnchor>
    <xdr:from>
      <xdr:col>0</xdr:col>
      <xdr:colOff>15875</xdr:colOff>
      <xdr:row>11</xdr:row>
      <xdr:rowOff>31750</xdr:rowOff>
    </xdr:from>
    <xdr:to>
      <xdr:col>10</xdr:col>
      <xdr:colOff>476250</xdr:colOff>
      <xdr:row>11</xdr:row>
      <xdr:rowOff>739636</xdr:rowOff>
    </xdr:to>
    <xdr:sp macro="" textlink="">
      <xdr:nvSpPr>
        <xdr:cNvPr id="20" name="TextBox 19"/>
        <xdr:cNvSpPr txBox="1"/>
      </xdr:nvSpPr>
      <xdr:spPr>
        <a:xfrm>
          <a:off x="15875" y="3333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Corporate Overhead Elements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95250</xdr:colOff>
      <xdr:row>16</xdr:row>
      <xdr:rowOff>174626</xdr:rowOff>
    </xdr:from>
    <xdr:to>
      <xdr:col>23</xdr:col>
      <xdr:colOff>127000</xdr:colOff>
      <xdr:row>35</xdr:row>
      <xdr:rowOff>95251</xdr:rowOff>
    </xdr:to>
    <xdr:sp macro="" textlink="">
      <xdr:nvSpPr>
        <xdr:cNvPr id="3" name="Curved Left Arrow 2"/>
        <xdr:cNvSpPr/>
      </xdr:nvSpPr>
      <xdr:spPr>
        <a:xfrm>
          <a:off x="19415125" y="3127376"/>
          <a:ext cx="873125" cy="40640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7</xdr:col>
      <xdr:colOff>127000</xdr:colOff>
      <xdr:row>48</xdr:row>
      <xdr:rowOff>47625</xdr:rowOff>
    </xdr:from>
    <xdr:to>
      <xdr:col>8</xdr:col>
      <xdr:colOff>158750</xdr:colOff>
      <xdr:row>66</xdr:row>
      <xdr:rowOff>158750</xdr:rowOff>
    </xdr:to>
    <xdr:sp macro="" textlink="">
      <xdr:nvSpPr>
        <xdr:cNvPr id="4" name="Curved Left Arrow 3"/>
        <xdr:cNvSpPr/>
      </xdr:nvSpPr>
      <xdr:spPr>
        <a:xfrm>
          <a:off x="6826250" y="10048875"/>
          <a:ext cx="873125" cy="40640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7</xdr:col>
      <xdr:colOff>913493</xdr:colOff>
      <xdr:row>36</xdr:row>
      <xdr:rowOff>174623</xdr:rowOff>
    </xdr:from>
    <xdr:to>
      <xdr:col>20</xdr:col>
      <xdr:colOff>31751</xdr:colOff>
      <xdr:row>56</xdr:row>
      <xdr:rowOff>0</xdr:rowOff>
    </xdr:to>
    <xdr:sp macro="" textlink="">
      <xdr:nvSpPr>
        <xdr:cNvPr id="2" name="TextBox 1"/>
        <xdr:cNvSpPr txBox="1"/>
      </xdr:nvSpPr>
      <xdr:spPr>
        <a:xfrm>
          <a:off x="8501743" y="7508873"/>
          <a:ext cx="11500758" cy="3889377"/>
        </a:xfrm>
        <a:prstGeom prst="rect">
          <a:avLst/>
        </a:prstGeom>
        <a:solidFill>
          <a:sysClr val="window" lastClr="FFFFFF"/>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600" b="1">
              <a:solidFill>
                <a:sysClr val="windowText" lastClr="000000"/>
              </a:solidFill>
            </a:rPr>
            <a:t>ENTER quarterly amounts for each UNSHADED ITEM. Shaded lines are calculated</a:t>
          </a:r>
          <a:r>
            <a:rPr lang="en-US" sz="1600" b="1" baseline="0">
              <a:solidFill>
                <a:sysClr val="windowText" lastClr="000000"/>
              </a:solidFill>
            </a:rPr>
            <a:t> or drawn from other sheets. </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Prior year information is entered only if there is a prior year. For a new set of financials, enter only any new Long Term Liabilities and Paid in Capital in the first Q1 column.</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The Other Current line is for any fluctuating current asset or liability balances. Remember that values stay on the Balance Sheet until specific actions remove them (such as sale of an asset or incurrance of a new liability).</a:t>
          </a:r>
        </a:p>
        <a:p>
          <a:pPr marL="342900" marR="0" lvl="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Cash is derived directly from the cash flow page.</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lang="en-US" sz="1600" b="1" baseline="0">
              <a:solidFill>
                <a:sysClr val="windowText" lastClr="000000"/>
              </a:solidFill>
            </a:rPr>
            <a:t>Accounts Receivable is calculated using ratio to revenue </a:t>
          </a:r>
          <a:r>
            <a:rPr kumimoji="0" lang="en-US" sz="1600" b="1" i="0" u="none" strike="noStrike" kern="0" cap="none" spc="0" normalizeH="0" baseline="0" noProof="0">
              <a:ln>
                <a:noFill/>
              </a:ln>
              <a:solidFill>
                <a:sysClr val="windowText" lastClr="000000"/>
              </a:solidFill>
              <a:effectLst/>
              <a:uLnTx/>
              <a:uFillTx/>
              <a:latin typeface="+mn-lt"/>
              <a:ea typeface="+mn-ea"/>
              <a:cs typeface="+mn-cs"/>
            </a:rPr>
            <a:t>,  Inventory Accounts  using a ratio to COGS, and Accounts Payable using a ratio to material cost, per settings on the Para page. </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Fixed Assets, above, is the asset listed on the Para page, and drives depreciation on the P&amp;L, using the straight line method and the period on the Para page, and then the depreciation is accumulated on the balance sheet based on the  P&amp;L entries.</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Notes Payable, above, drives Interest on the P&amp;L,  using the interest rate from the Para page and assuming interest-only loans. This model assumes one note, entered on the Para page.  </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Paid in Capital is assumed to be paid in during the first period and does not change in subsequent months (except by unprotecting the sheet).</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r>
            <a:rPr kumimoji="0" lang="en-US" sz="1600" b="1" i="0" u="none" strike="noStrike" kern="0" cap="none" spc="0" normalizeH="0" baseline="0" noProof="0">
              <a:ln>
                <a:noFill/>
              </a:ln>
              <a:solidFill>
                <a:sysClr val="windowText" lastClr="000000"/>
              </a:solidFill>
              <a:effectLst/>
              <a:uLnTx/>
              <a:uFillTx/>
              <a:latin typeface="+mn-lt"/>
              <a:ea typeface="+mn-ea"/>
              <a:cs typeface="+mn-cs"/>
            </a:rPr>
            <a:t>Retained earnings are accumulated directly from the after tax profit on the P&amp;L.</a:t>
          </a:r>
        </a:p>
        <a:p>
          <a:pPr marL="342900" marR="0" indent="-342900" defTabSz="914400" eaLnBrk="1" fontAlgn="auto" latinLnBrk="0" hangingPunct="1">
            <a:lnSpc>
              <a:spcPct val="100000"/>
            </a:lnSpc>
            <a:spcBef>
              <a:spcPts val="0"/>
            </a:spcBef>
            <a:spcAft>
              <a:spcPts val="0"/>
            </a:spcAft>
            <a:buClrTx/>
            <a:buSzTx/>
            <a:buFont typeface="+mj-lt"/>
            <a:buAutoNum type="arabicPeriod"/>
            <a:tabLst/>
            <a:defRPr/>
          </a:pPr>
          <a:endParaRPr lang="en-US" sz="1600" b="1">
            <a:solidFill>
              <a:sysClr val="windowText" lastClr="000000"/>
            </a:solidFill>
          </a:endParaRPr>
        </a:p>
      </xdr:txBody>
    </xdr:sp>
    <xdr:clientData/>
  </xdr:twoCellAnchor>
  <xdr:twoCellAnchor>
    <xdr:from>
      <xdr:col>8</xdr:col>
      <xdr:colOff>682626</xdr:colOff>
      <xdr:row>56</xdr:row>
      <xdr:rowOff>79376</xdr:rowOff>
    </xdr:from>
    <xdr:to>
      <xdr:col>10</xdr:col>
      <xdr:colOff>269876</xdr:colOff>
      <xdr:row>60</xdr:row>
      <xdr:rowOff>174626</xdr:rowOff>
    </xdr:to>
    <xdr:sp macro="" textlink="">
      <xdr:nvSpPr>
        <xdr:cNvPr id="5" name="Rectangular Callout 4"/>
        <xdr:cNvSpPr/>
      </xdr:nvSpPr>
      <xdr:spPr>
        <a:xfrm>
          <a:off x="9223376" y="11477626"/>
          <a:ext cx="1492250" cy="857250"/>
        </a:xfrm>
        <a:prstGeom prst="wedgeRectCallout">
          <a:avLst>
            <a:gd name="adj1" fmla="val -97719"/>
            <a:gd name="adj2" fmla="val 59223"/>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R="0" algn="l" defTabSz="914400" eaLnBrk="1" fontAlgn="auto" latinLnBrk="0" hangingPunct="1">
            <a:lnSpc>
              <a:spcPct val="100000"/>
            </a:lnSpc>
            <a:spcBef>
              <a:spcPts val="0"/>
            </a:spcBef>
            <a:spcAft>
              <a:spcPts val="0"/>
            </a:spcAft>
            <a:buClrTx/>
            <a:buSzTx/>
            <a:tabLst/>
            <a:defRPr/>
          </a:pPr>
          <a:r>
            <a:rPr lang="en-US" sz="1600" b="1">
              <a:solidFill>
                <a:sysClr val="windowText" lastClr="000000"/>
              </a:solidFill>
              <a:latin typeface="+mn-lt"/>
              <a:ea typeface="+mn-ea"/>
              <a:cs typeface="+mn-cs"/>
            </a:rPr>
            <a:t>Total Assets always equals</a:t>
          </a:r>
          <a:r>
            <a:rPr lang="en-US" sz="1600" b="1" baseline="0">
              <a:solidFill>
                <a:sysClr val="windowText" lastClr="000000"/>
              </a:solidFill>
              <a:latin typeface="+mn-lt"/>
              <a:ea typeface="+mn-ea"/>
              <a:cs typeface="+mn-cs"/>
            </a:rPr>
            <a:t> Total Liabilities</a:t>
          </a:r>
          <a:endParaRPr lang="en-US" sz="1600" b="1">
            <a:solidFill>
              <a:sysClr val="windowText" lastClr="000000"/>
            </a:solidFill>
            <a:latin typeface="+mn-lt"/>
            <a:ea typeface="+mn-ea"/>
            <a:cs typeface="+mn-cs"/>
          </a:endParaRPr>
        </a:p>
      </xdr:txBody>
    </xdr:sp>
    <xdr:clientData/>
  </xdr:twoCellAnchor>
  <xdr:twoCellAnchor>
    <xdr:from>
      <xdr:col>0</xdr:col>
      <xdr:colOff>0</xdr:colOff>
      <xdr:row>0</xdr:row>
      <xdr:rowOff>158750</xdr:rowOff>
    </xdr:from>
    <xdr:to>
      <xdr:col>14</xdr:col>
      <xdr:colOff>47625</xdr:colOff>
      <xdr:row>0</xdr:row>
      <xdr:rowOff>866636</xdr:rowOff>
    </xdr:to>
    <xdr:grpSp>
      <xdr:nvGrpSpPr>
        <xdr:cNvPr id="9" name="Group 8"/>
        <xdr:cNvGrpSpPr/>
      </xdr:nvGrpSpPr>
      <xdr:grpSpPr>
        <a:xfrm>
          <a:off x="0" y="158750"/>
          <a:ext cx="14303375" cy="707886"/>
          <a:chOff x="0" y="158750"/>
          <a:chExt cx="14303375" cy="707886"/>
        </a:xfrm>
      </xdr:grpSpPr>
      <xdr:sp macro="" textlink="">
        <xdr:nvSpPr>
          <xdr:cNvPr id="10" name="TextBox 9"/>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Balance Sheet</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11" name="Group 10"/>
          <xdr:cNvGrpSpPr/>
        </xdr:nvGrpSpPr>
        <xdr:grpSpPr>
          <a:xfrm>
            <a:off x="10302875" y="158750"/>
            <a:ext cx="4000500" cy="603250"/>
            <a:chOff x="1231900" y="2944298"/>
            <a:chExt cx="4330700" cy="719667"/>
          </a:xfrm>
        </xdr:grpSpPr>
        <xdr:grpSp>
          <xdr:nvGrpSpPr>
            <xdr:cNvPr id="12" name="Group 11"/>
            <xdr:cNvGrpSpPr/>
          </xdr:nvGrpSpPr>
          <xdr:grpSpPr>
            <a:xfrm>
              <a:off x="1231900" y="2944298"/>
              <a:ext cx="4330700" cy="719667"/>
              <a:chOff x="1231900" y="3987800"/>
              <a:chExt cx="4330700" cy="719667"/>
            </a:xfrm>
          </xdr:grpSpPr>
          <xdr:sp macro="" textlink="">
            <xdr:nvSpPr>
              <xdr:cNvPr id="16" name="Left-Right Arrow 15"/>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7" name="Group 16"/>
              <xdr:cNvGrpSpPr/>
            </xdr:nvGrpSpPr>
            <xdr:grpSpPr>
              <a:xfrm>
                <a:off x="1231900" y="3987800"/>
                <a:ext cx="4330700" cy="719667"/>
                <a:chOff x="1231900" y="3987800"/>
                <a:chExt cx="4330700" cy="863600"/>
              </a:xfrm>
            </xdr:grpSpPr>
            <xdr:sp macro="" textlink="">
              <xdr:nvSpPr>
                <xdr:cNvPr id="18" name="Left-Right Arrow 17"/>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9" name="Straight Connector 18"/>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0" name="Straight Connector 19"/>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3" name="TextBox 12">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4" name="TextBox 13">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5" name="TextBox 14">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190498</xdr:colOff>
      <xdr:row>30</xdr:row>
      <xdr:rowOff>0</xdr:rowOff>
    </xdr:from>
    <xdr:to>
      <xdr:col>17</xdr:col>
      <xdr:colOff>31750</xdr:colOff>
      <xdr:row>32</xdr:row>
      <xdr:rowOff>174625</xdr:rowOff>
    </xdr:to>
    <xdr:sp macro="" textlink="">
      <xdr:nvSpPr>
        <xdr:cNvPr id="2" name="TextBox 1"/>
        <xdr:cNvSpPr txBox="1"/>
      </xdr:nvSpPr>
      <xdr:spPr>
        <a:xfrm>
          <a:off x="6048373" y="9123589"/>
          <a:ext cx="9096377" cy="718911"/>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b="1">
              <a:solidFill>
                <a:sysClr val="windowText" lastClr="000000"/>
              </a:solidFill>
            </a:rPr>
            <a:t>DO NOT ENTER INFORMATION</a:t>
          </a:r>
          <a:r>
            <a:rPr lang="en-US" sz="1600" b="1" baseline="0">
              <a:solidFill>
                <a:sysClr val="windowText" lastClr="000000"/>
              </a:solidFill>
            </a:rPr>
            <a:t> ON THIS  SHEET. It </a:t>
          </a:r>
          <a:r>
            <a:rPr lang="en-US" sz="1600" b="1">
              <a:solidFill>
                <a:sysClr val="windowText" lastClr="000000"/>
              </a:solidFill>
            </a:rPr>
            <a:t>is calculated from the Para, COGS, and OH worksheets, plus depreciation based on Fixed</a:t>
          </a:r>
          <a:r>
            <a:rPr lang="en-US" sz="1600" b="1" baseline="0">
              <a:solidFill>
                <a:sysClr val="windowText" lastClr="000000"/>
              </a:solidFill>
            </a:rPr>
            <a:t> Assets  and Interest based on Notes Payable of the Balance Sheet.</a:t>
          </a:r>
          <a:endParaRPr lang="en-US" sz="1600" b="1">
            <a:solidFill>
              <a:sysClr val="windowText" lastClr="000000"/>
            </a:solidFill>
          </a:endParaRPr>
        </a:p>
      </xdr:txBody>
    </xdr:sp>
    <xdr:clientData/>
  </xdr:twoCellAnchor>
  <xdr:twoCellAnchor>
    <xdr:from>
      <xdr:col>0</xdr:col>
      <xdr:colOff>0</xdr:colOff>
      <xdr:row>0</xdr:row>
      <xdr:rowOff>158750</xdr:rowOff>
    </xdr:from>
    <xdr:to>
      <xdr:col>14</xdr:col>
      <xdr:colOff>47625</xdr:colOff>
      <xdr:row>0</xdr:row>
      <xdr:rowOff>866636</xdr:rowOff>
    </xdr:to>
    <xdr:grpSp>
      <xdr:nvGrpSpPr>
        <xdr:cNvPr id="7" name="Group 6"/>
        <xdr:cNvGrpSpPr/>
      </xdr:nvGrpSpPr>
      <xdr:grpSpPr>
        <a:xfrm>
          <a:off x="0" y="158750"/>
          <a:ext cx="14303375" cy="707886"/>
          <a:chOff x="0" y="158750"/>
          <a:chExt cx="14303375" cy="707886"/>
        </a:xfrm>
      </xdr:grpSpPr>
      <xdr:sp macro="" textlink="">
        <xdr:nvSpPr>
          <xdr:cNvPr id="8" name="TextBox 7"/>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Profit &amp; Loss (P&amp;L)</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15875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6" name="Group 15"/>
              <xdr:cNvGrpSpPr/>
            </xdr:nvGrpSpPr>
            <xdr:grpSpPr>
              <a:xfrm>
                <a:off x="1231900" y="3987800"/>
                <a:ext cx="4330700" cy="719667"/>
                <a:chOff x="1231900" y="3987800"/>
                <a:chExt cx="4330700" cy="863600"/>
              </a:xfrm>
            </xdr:grpSpPr>
            <xdr:sp macro="" textlink="">
              <xdr:nvSpPr>
                <xdr:cNvPr id="17" name="Left-Right Arrow 1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8" name="Straight Connector 1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9" name="Straight Connector 18"/>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3" name="TextBox 12">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31750</xdr:colOff>
      <xdr:row>25</xdr:row>
      <xdr:rowOff>27214</xdr:rowOff>
    </xdr:from>
    <xdr:to>
      <xdr:col>11</xdr:col>
      <xdr:colOff>428625</xdr:colOff>
      <xdr:row>29</xdr:row>
      <xdr:rowOff>127001</xdr:rowOff>
    </xdr:to>
    <xdr:sp macro="" textlink="">
      <xdr:nvSpPr>
        <xdr:cNvPr id="2" name="TextBox 1"/>
        <xdr:cNvSpPr txBox="1"/>
      </xdr:nvSpPr>
      <xdr:spPr>
        <a:xfrm>
          <a:off x="7620000" y="5742214"/>
          <a:ext cx="4206875" cy="925287"/>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b="1">
              <a:solidFill>
                <a:sysClr val="windowText" lastClr="000000"/>
              </a:solidFill>
            </a:rPr>
            <a:t>Enter planned dividends (if any). MAKE</a:t>
          </a:r>
          <a:r>
            <a:rPr lang="en-US" sz="1600" b="1" baseline="0">
              <a:solidFill>
                <a:sysClr val="windowText" lastClr="000000"/>
              </a:solidFill>
            </a:rPr>
            <a:t> NO OTHER  ENTRIES ON THIS SHEET. It </a:t>
          </a:r>
          <a:r>
            <a:rPr lang="en-US" sz="1600" b="1">
              <a:solidFill>
                <a:sysClr val="windowText" lastClr="000000"/>
              </a:solidFill>
            </a:rPr>
            <a:t>is calculated from the P&amp;L and Balance Sheet worksheets.</a:t>
          </a:r>
        </a:p>
      </xdr:txBody>
    </xdr:sp>
    <xdr:clientData/>
  </xdr:twoCellAnchor>
  <xdr:twoCellAnchor>
    <xdr:from>
      <xdr:col>0</xdr:col>
      <xdr:colOff>0</xdr:colOff>
      <xdr:row>0</xdr:row>
      <xdr:rowOff>158750</xdr:rowOff>
    </xdr:from>
    <xdr:to>
      <xdr:col>14</xdr:col>
      <xdr:colOff>47625</xdr:colOff>
      <xdr:row>0</xdr:row>
      <xdr:rowOff>866636</xdr:rowOff>
    </xdr:to>
    <xdr:grpSp>
      <xdr:nvGrpSpPr>
        <xdr:cNvPr id="7" name="Group 6"/>
        <xdr:cNvGrpSpPr/>
      </xdr:nvGrpSpPr>
      <xdr:grpSpPr>
        <a:xfrm>
          <a:off x="0" y="158750"/>
          <a:ext cx="14303375" cy="707886"/>
          <a:chOff x="0" y="158750"/>
          <a:chExt cx="14303375" cy="707886"/>
        </a:xfrm>
      </xdr:grpSpPr>
      <xdr:sp macro="" textlink="">
        <xdr:nvSpPr>
          <xdr:cNvPr id="8" name="TextBox 7"/>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Cash Flow</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15875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3" name="TextBox 12">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653143</xdr:colOff>
      <xdr:row>2</xdr:row>
      <xdr:rowOff>251733</xdr:rowOff>
    </xdr:from>
    <xdr:to>
      <xdr:col>15</xdr:col>
      <xdr:colOff>27214</xdr:colOff>
      <xdr:row>6</xdr:row>
      <xdr:rowOff>186872</xdr:rowOff>
    </xdr:to>
    <xdr:sp macro="" textlink="">
      <xdr:nvSpPr>
        <xdr:cNvPr id="3" name="TextBox 2"/>
        <xdr:cNvSpPr txBox="1"/>
      </xdr:nvSpPr>
      <xdr:spPr>
        <a:xfrm>
          <a:off x="9987643" y="1855108"/>
          <a:ext cx="4708071" cy="871764"/>
        </a:xfrm>
        <a:prstGeom prst="rect">
          <a:avLst/>
        </a:prstGeom>
        <a:solidFill>
          <a:sysClr val="window" lastClr="FFFFFF"/>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600" b="1">
              <a:solidFill>
                <a:sysClr val="windowText" lastClr="000000"/>
              </a:solidFill>
            </a:rPr>
            <a:t>This page is formatted to print</a:t>
          </a:r>
          <a:r>
            <a:rPr lang="en-US" sz="1600" b="1" baseline="0">
              <a:solidFill>
                <a:sysClr val="windowText" lastClr="000000"/>
              </a:solidFill>
            </a:rPr>
            <a:t> on three sheets, for the P&amp;L, the Balance Sheet, and the Cash Flow Statement. This box will not print.</a:t>
          </a:r>
          <a:endParaRPr lang="en-US" sz="1600" b="1">
            <a:solidFill>
              <a:sysClr val="windowText" lastClr="000000"/>
            </a:solidFill>
          </a:endParaRPr>
        </a:p>
      </xdr:txBody>
    </xdr:sp>
    <xdr:clientData fPrintsWithSheet="0"/>
  </xdr:twoCellAnchor>
  <xdr:twoCellAnchor>
    <xdr:from>
      <xdr:col>0</xdr:col>
      <xdr:colOff>0</xdr:colOff>
      <xdr:row>0</xdr:row>
      <xdr:rowOff>158750</xdr:rowOff>
    </xdr:from>
    <xdr:to>
      <xdr:col>14</xdr:col>
      <xdr:colOff>301625</xdr:colOff>
      <xdr:row>0</xdr:row>
      <xdr:rowOff>866636</xdr:rowOff>
    </xdr:to>
    <xdr:grpSp>
      <xdr:nvGrpSpPr>
        <xdr:cNvPr id="7" name="Group 6"/>
        <xdr:cNvGrpSpPr/>
      </xdr:nvGrpSpPr>
      <xdr:grpSpPr>
        <a:xfrm>
          <a:off x="0" y="158750"/>
          <a:ext cx="14303375" cy="707886"/>
          <a:chOff x="0" y="158750"/>
          <a:chExt cx="14303375" cy="707886"/>
        </a:xfrm>
      </xdr:grpSpPr>
      <xdr:sp macro="" textlink="">
        <xdr:nvSpPr>
          <xdr:cNvPr id="8" name="TextBox 7"/>
          <xdr:cNvSpPr txBox="1"/>
        </xdr:nvSpPr>
        <xdr:spPr>
          <a:xfrm>
            <a:off x="0" y="15875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Print Version</a:t>
            </a:r>
          </a:p>
          <a:p>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15875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2"/>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End</a:t>
              </a:r>
            </a:p>
          </xdr:txBody>
        </xdr:sp>
        <xdr:sp macro="" textlink="">
          <xdr:nvSpPr>
            <xdr:cNvPr id="13" name="TextBox 12">
              <a:hlinkClick xmlns:r="http://schemas.openxmlformats.org/officeDocument/2006/relationships" r:id="rId2"/>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6" Type="http://schemas.openxmlformats.org/officeDocument/2006/relationships/ctrlProp" Target="../ctrlProps/ctrlProp4.xml"/><Relationship Id="rId7" Type="http://schemas.openxmlformats.org/officeDocument/2006/relationships/ctrlProp" Target="../ctrlProps/ctrlProp5.xml"/><Relationship Id="rId8" Type="http://schemas.openxmlformats.org/officeDocument/2006/relationships/ctrlProp" Target="../ctrlProps/ctrlProp6.xml"/><Relationship Id="rId1" Type="http://schemas.openxmlformats.org/officeDocument/2006/relationships/drawing" Target="../drawings/drawing3.xml"/><Relationship Id="rId2"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heetViews>
  <sheetFormatPr baseColWidth="10" defaultRowHeight="15" x14ac:dyDescent="0"/>
  <cols>
    <col min="1" max="16384" width="10.83203125" style="2"/>
  </cols>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theme="5" tint="0.59999389629810485"/>
  </sheetPr>
  <dimension ref="A1:A46"/>
  <sheetViews>
    <sheetView showGridLines="0" showRowColHeaders="0" zoomScale="80" zoomScaleNormal="80" zoomScalePageLayoutView="80" workbookViewId="0">
      <selection activeCell="J46" sqref="J46"/>
    </sheetView>
  </sheetViews>
  <sheetFormatPr baseColWidth="10" defaultColWidth="8.83203125" defaultRowHeight="12" x14ac:dyDescent="0"/>
  <cols>
    <col min="1" max="1" width="5.83203125" style="1" customWidth="1"/>
    <col min="2" max="2" width="4.83203125" style="1" customWidth="1"/>
    <col min="3" max="6" width="6" style="1" customWidth="1"/>
    <col min="7" max="7" width="3.6640625" style="1" customWidth="1"/>
    <col min="8" max="16384" width="8.83203125" style="1"/>
  </cols>
  <sheetData>
    <row r="1" ht="100" customHeight="1"/>
    <row r="3"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9" ht="12.75" customHeight="1"/>
    <row r="20" ht="12.75" customHeight="1"/>
    <row r="21" ht="12.75" customHeight="1"/>
    <row r="22"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dimension ref="B1:AJ35"/>
  <sheetViews>
    <sheetView showGridLines="0" showRowColHeaders="0" zoomScale="80" zoomScaleNormal="80" zoomScalePageLayoutView="80" workbookViewId="0">
      <selection activeCell="B3" sqref="B3"/>
    </sheetView>
  </sheetViews>
  <sheetFormatPr baseColWidth="10" defaultColWidth="8.83203125" defaultRowHeight="18" x14ac:dyDescent="0"/>
  <cols>
    <col min="1" max="1" width="5.83203125" style="12" customWidth="1"/>
    <col min="2" max="2" width="57" style="12" customWidth="1"/>
    <col min="3" max="3" width="5.83203125" style="12" customWidth="1"/>
    <col min="4" max="4" width="36" style="9" customWidth="1"/>
    <col min="5" max="5" width="13.6640625" style="10" customWidth="1"/>
    <col min="6" max="6" width="3.6640625" style="10" customWidth="1"/>
    <col min="7" max="7" width="13.6640625" style="11" customWidth="1"/>
    <col min="8" max="9" width="13.6640625" style="10" customWidth="1"/>
    <col min="10" max="10" width="3.6640625" style="10" customWidth="1"/>
    <col min="11" max="12" width="13.5" style="10" customWidth="1"/>
    <col min="13" max="13" width="8.83203125" style="12"/>
    <col min="14" max="14" width="36.6640625" style="12" customWidth="1"/>
    <col min="15" max="15" width="16.83203125" style="11" customWidth="1"/>
    <col min="16" max="16" width="13.5" style="10" customWidth="1"/>
    <col min="17" max="16384" width="8.83203125" style="12"/>
  </cols>
  <sheetData>
    <row r="1" spans="2:36" ht="100" customHeight="1"/>
    <row r="2" spans="2:36" s="9" customFormat="1" ht="40" customHeight="1">
      <c r="B2" s="18" t="s">
        <v>67</v>
      </c>
      <c r="D2" s="9" t="s">
        <v>81</v>
      </c>
      <c r="E2" s="60" t="s">
        <v>60</v>
      </c>
      <c r="F2" s="14"/>
      <c r="J2" s="14"/>
      <c r="K2" s="14"/>
      <c r="L2" s="14"/>
      <c r="O2" s="21"/>
      <c r="P2" s="14"/>
      <c r="AJ2" s="12"/>
    </row>
    <row r="3" spans="2:36" s="9" customFormat="1" ht="24" customHeight="1">
      <c r="B3" s="61" t="s">
        <v>66</v>
      </c>
      <c r="D3" s="61" t="s">
        <v>80</v>
      </c>
      <c r="E3" s="62">
        <v>35</v>
      </c>
      <c r="F3" s="13"/>
      <c r="J3" s="10"/>
      <c r="AJ3" s="12"/>
    </row>
    <row r="4" spans="2:36" ht="23" customHeight="1"/>
    <row r="5" spans="2:36" ht="23" customHeight="1">
      <c r="D5" s="73" t="s">
        <v>78</v>
      </c>
      <c r="E5" s="63">
        <v>10</v>
      </c>
    </row>
    <row r="6" spans="2:36" ht="23" customHeight="1">
      <c r="D6" s="74" t="s">
        <v>61</v>
      </c>
      <c r="E6" s="64">
        <v>4</v>
      </c>
    </row>
    <row r="7" spans="2:36" ht="23" customHeight="1">
      <c r="B7" s="59" t="str">
        <f>"Q1 "&amp;Yr_1</f>
        <v>Q1 2018</v>
      </c>
      <c r="D7" s="73" t="s">
        <v>79</v>
      </c>
      <c r="E7" s="64">
        <v>5.5</v>
      </c>
    </row>
    <row r="8" spans="2:36" ht="23" customHeight="1">
      <c r="B8" s="59" t="str">
        <f>"Q2 "&amp;Yr_1</f>
        <v>Q2 2018</v>
      </c>
      <c r="M8" s="10"/>
      <c r="N8" s="10"/>
      <c r="O8" s="10"/>
      <c r="Q8" s="10"/>
      <c r="R8" s="10"/>
    </row>
    <row r="9" spans="2:36" ht="23" customHeight="1">
      <c r="B9" s="59" t="str">
        <f>"Q3 "&amp;Yr_1</f>
        <v>Q3 2018</v>
      </c>
      <c r="D9" s="9" t="s">
        <v>3</v>
      </c>
      <c r="E9" s="16">
        <v>2018</v>
      </c>
      <c r="M9" s="10"/>
      <c r="N9" s="10"/>
      <c r="O9" s="10"/>
      <c r="Q9" s="10"/>
      <c r="R9" s="10"/>
    </row>
    <row r="10" spans="2:36" ht="23" customHeight="1">
      <c r="B10" s="59" t="str">
        <f>"Q4 "&amp;Yr_1</f>
        <v>Q4 2018</v>
      </c>
      <c r="D10" s="11"/>
      <c r="E10" s="11"/>
      <c r="O10" s="20"/>
      <c r="P10" s="12"/>
    </row>
    <row r="11" spans="2:36" ht="23" customHeight="1">
      <c r="B11" s="59" t="str">
        <f>"Q1 "&amp;Yr_1</f>
        <v>Q1 2018</v>
      </c>
      <c r="E11" s="17">
        <v>30</v>
      </c>
      <c r="F11" s="11"/>
      <c r="O11" s="20"/>
      <c r="P11" s="12"/>
    </row>
    <row r="12" spans="2:36" ht="23" customHeight="1">
      <c r="B12" s="59" t="str">
        <f>"Q2 "&amp;Yr_1+1</f>
        <v>Q2 2019</v>
      </c>
      <c r="D12" s="9" t="s">
        <v>16</v>
      </c>
      <c r="E12" s="71">
        <f>E11/200</f>
        <v>0.15</v>
      </c>
      <c r="O12" s="20"/>
      <c r="P12" s="12"/>
    </row>
    <row r="13" spans="2:36" ht="23" customHeight="1">
      <c r="B13" s="59" t="str">
        <f>"Q3 "&amp;Yr_1+1</f>
        <v>Q3 2019</v>
      </c>
      <c r="O13" s="20"/>
      <c r="P13" s="12"/>
    </row>
    <row r="14" spans="2:36" ht="23" customHeight="1">
      <c r="B14" s="59" t="str">
        <f>"Q4 "&amp;Yr_1+1</f>
        <v>Q4 2019</v>
      </c>
      <c r="D14" s="9" t="s">
        <v>86</v>
      </c>
      <c r="E14" s="17">
        <v>27</v>
      </c>
      <c r="O14" s="20"/>
      <c r="P14" s="12"/>
    </row>
    <row r="15" spans="2:36" ht="23" customHeight="1">
      <c r="B15" s="59" t="str">
        <f>"Q1 "&amp;Yr_1+2</f>
        <v>Q1 2020</v>
      </c>
      <c r="D15" s="9" t="s">
        <v>87</v>
      </c>
      <c r="E15" s="72">
        <f>E14/200</f>
        <v>0.13500000000000001</v>
      </c>
      <c r="G15" s="18" t="str">
        <f>"(Indicates "&amp;365*E15&amp;" days to collect receivables)"</f>
        <v>(Indicates 49.275 days to collect receivables)</v>
      </c>
      <c r="O15" s="20"/>
      <c r="P15" s="12"/>
    </row>
    <row r="16" spans="2:36" ht="23" customHeight="1">
      <c r="B16" s="59" t="str">
        <f>"Q2 "&amp;Yr_1+2</f>
        <v>Q2 2020</v>
      </c>
    </row>
    <row r="17" spans="2:36" ht="23" customHeight="1">
      <c r="B17" s="59" t="str">
        <f>"Q3 "&amp;Yr_1+2</f>
        <v>Q3 2020</v>
      </c>
      <c r="D17" s="9" t="s">
        <v>88</v>
      </c>
      <c r="E17" s="17">
        <v>24</v>
      </c>
    </row>
    <row r="18" spans="2:36" ht="23" customHeight="1">
      <c r="B18" s="59" t="str">
        <f>"Q4 "&amp;Yr_1+2</f>
        <v>Q4 2020</v>
      </c>
      <c r="D18" s="9" t="s">
        <v>89</v>
      </c>
      <c r="E18" s="72">
        <f>E17/200</f>
        <v>0.12</v>
      </c>
      <c r="G18" s="18" t="str">
        <f>"(Indicates "&amp;365*E18&amp;" Days of Supply)"</f>
        <v>(Indicates 43.8 Days of Supply)</v>
      </c>
      <c r="Q18" s="10"/>
      <c r="R18" s="10"/>
      <c r="S18" s="10"/>
      <c r="T18" s="10"/>
      <c r="U18" s="10"/>
      <c r="V18" s="10"/>
      <c r="W18" s="10"/>
      <c r="X18" s="10"/>
      <c r="Y18" s="10"/>
      <c r="Z18" s="10"/>
      <c r="AA18" s="10"/>
      <c r="AB18" s="10"/>
      <c r="AC18" s="10"/>
      <c r="AD18" s="10"/>
      <c r="AE18" s="10"/>
      <c r="AF18" s="10"/>
      <c r="AG18" s="10"/>
      <c r="AH18" s="10"/>
      <c r="AI18" s="10"/>
      <c r="AJ18" s="10"/>
    </row>
    <row r="19" spans="2:36" ht="23" customHeight="1">
      <c r="B19" s="59" t="str">
        <f>"Q1 "&amp;Yr_1+3</f>
        <v>Q1 2021</v>
      </c>
      <c r="Q19" s="10"/>
      <c r="R19" s="10"/>
      <c r="S19" s="10"/>
      <c r="T19" s="10"/>
      <c r="U19" s="10"/>
      <c r="V19" s="10"/>
      <c r="W19" s="10"/>
      <c r="X19" s="10"/>
      <c r="Y19" s="10"/>
      <c r="Z19" s="10"/>
      <c r="AA19" s="10"/>
      <c r="AB19" s="10"/>
      <c r="AC19" s="10"/>
      <c r="AD19" s="10"/>
      <c r="AE19" s="10"/>
      <c r="AF19" s="10"/>
      <c r="AG19" s="10"/>
      <c r="AH19" s="10"/>
      <c r="AI19" s="10"/>
      <c r="AJ19" s="10"/>
    </row>
    <row r="20" spans="2:36" ht="23" customHeight="1">
      <c r="B20" s="59" t="str">
        <f>"Q2 "&amp;Yr_1+3</f>
        <v>Q2 2021</v>
      </c>
      <c r="D20" s="9" t="s">
        <v>90</v>
      </c>
      <c r="E20" s="17">
        <v>21</v>
      </c>
    </row>
    <row r="21" spans="2:36" ht="23" customHeight="1">
      <c r="B21" s="59" t="str">
        <f>"Q3 "&amp;Yr_1+3</f>
        <v>Q3 2021</v>
      </c>
      <c r="D21" s="9" t="s">
        <v>91</v>
      </c>
      <c r="E21" s="72">
        <f>E20/200</f>
        <v>0.105</v>
      </c>
      <c r="G21" s="18" t="str">
        <f>"(Indicates "&amp;365*E21&amp;" days to pay vendors)"</f>
        <v>(Indicates 38.325 days to pay vendors)</v>
      </c>
    </row>
    <row r="22" spans="2:36" ht="23" customHeight="1">
      <c r="B22" s="59" t="str">
        <f>"Q4 "&amp;Yr_1+3</f>
        <v>Q4 2021</v>
      </c>
    </row>
    <row r="23" spans="2:36" ht="23" customHeight="1">
      <c r="B23" s="59" t="str">
        <f>"Q1 "&amp;Yr_1+4</f>
        <v>Q1 2022</v>
      </c>
      <c r="D23" s="9" t="s">
        <v>52</v>
      </c>
      <c r="E23" s="19">
        <v>0.1</v>
      </c>
    </row>
    <row r="24" spans="2:36" ht="23" customHeight="1">
      <c r="B24" s="59" t="str">
        <f>"Q2 "&amp;Yr_1+4</f>
        <v>Q2 2022</v>
      </c>
    </row>
    <row r="25" spans="2:36" ht="23" customHeight="1">
      <c r="B25" s="59" t="str">
        <f>"Q3 "&amp;Yr_1+4</f>
        <v>Q3 2022</v>
      </c>
      <c r="D25" s="9" t="s">
        <v>53</v>
      </c>
      <c r="E25" s="16">
        <v>10</v>
      </c>
    </row>
    <row r="26" spans="2:36" ht="23" customHeight="1">
      <c r="B26" s="59" t="str">
        <f>"Q4 "&amp;Yr_1+4</f>
        <v>Q4 2022</v>
      </c>
      <c r="D26" s="9" t="s">
        <v>54</v>
      </c>
    </row>
    <row r="27" spans="2:36" ht="26" customHeight="1">
      <c r="D27" s="12"/>
      <c r="E27" s="12"/>
    </row>
    <row r="28" spans="2:36" ht="26" customHeight="1">
      <c r="D28" s="65" t="s">
        <v>82</v>
      </c>
      <c r="E28" s="66" t="s">
        <v>63</v>
      </c>
      <c r="G28" s="60" t="s">
        <v>62</v>
      </c>
    </row>
    <row r="29" spans="2:36" ht="24" customHeight="1">
      <c r="D29" s="61" t="s">
        <v>83</v>
      </c>
      <c r="E29" s="69">
        <v>100000</v>
      </c>
      <c r="G29" s="15">
        <v>8</v>
      </c>
    </row>
    <row r="30" spans="2:36" ht="24" customHeight="1"/>
    <row r="31" spans="2:36" ht="24" customHeight="1">
      <c r="D31" s="65" t="s">
        <v>85</v>
      </c>
      <c r="E31" s="66" t="s">
        <v>63</v>
      </c>
      <c r="F31" s="68"/>
      <c r="G31" s="60" t="s">
        <v>62</v>
      </c>
    </row>
    <row r="32" spans="2:36" ht="24" customHeight="1">
      <c r="B32" s="59"/>
      <c r="D32" s="61" t="s">
        <v>84</v>
      </c>
      <c r="E32" s="69">
        <v>100000</v>
      </c>
      <c r="G32" s="67">
        <v>6</v>
      </c>
    </row>
    <row r="33" ht="24" customHeight="1"/>
    <row r="34" ht="24" customHeight="1"/>
    <row r="35" ht="24" customHeight="1"/>
  </sheetData>
  <sheetProtection sheet="1" objects="1" scenarios="1" selectLockedCells="1"/>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47" r:id="rId3" name="Scroll Bar 23">
              <controlPr defaultSize="0" autoPict="0">
                <anchor moveWithCells="1">
                  <from>
                    <xdr:col>4</xdr:col>
                    <xdr:colOff>12700</xdr:colOff>
                    <xdr:row>9</xdr:row>
                    <xdr:rowOff>228600</xdr:rowOff>
                  </from>
                  <to>
                    <xdr:col>5</xdr:col>
                    <xdr:colOff>0</xdr:colOff>
                    <xdr:row>10</xdr:row>
                    <xdr:rowOff>254000</xdr:rowOff>
                  </to>
                </anchor>
              </controlPr>
            </control>
          </mc:Choice>
          <mc:Fallback/>
        </mc:AlternateContent>
        <mc:AlternateContent xmlns:mc="http://schemas.openxmlformats.org/markup-compatibility/2006">
          <mc:Choice Requires="x14">
            <control shapeId="1054" r:id="rId4" name="Scroll Bar 30">
              <controlPr defaultSize="0" autoPict="0">
                <anchor moveWithCells="1">
                  <from>
                    <xdr:col>4</xdr:col>
                    <xdr:colOff>12700</xdr:colOff>
                    <xdr:row>12</xdr:row>
                    <xdr:rowOff>241300</xdr:rowOff>
                  </from>
                  <to>
                    <xdr:col>5</xdr:col>
                    <xdr:colOff>0</xdr:colOff>
                    <xdr:row>13</xdr:row>
                    <xdr:rowOff>266700</xdr:rowOff>
                  </to>
                </anchor>
              </controlPr>
            </control>
          </mc:Choice>
          <mc:Fallback/>
        </mc:AlternateContent>
        <mc:AlternateContent xmlns:mc="http://schemas.openxmlformats.org/markup-compatibility/2006">
          <mc:Choice Requires="x14">
            <control shapeId="1055" r:id="rId5" name="Scroll Bar 31">
              <controlPr defaultSize="0" autoPict="0">
                <anchor moveWithCells="1">
                  <from>
                    <xdr:col>4</xdr:col>
                    <xdr:colOff>12700</xdr:colOff>
                    <xdr:row>15</xdr:row>
                    <xdr:rowOff>241300</xdr:rowOff>
                  </from>
                  <to>
                    <xdr:col>5</xdr:col>
                    <xdr:colOff>0</xdr:colOff>
                    <xdr:row>16</xdr:row>
                    <xdr:rowOff>266700</xdr:rowOff>
                  </to>
                </anchor>
              </controlPr>
            </control>
          </mc:Choice>
          <mc:Fallback/>
        </mc:AlternateContent>
        <mc:AlternateContent xmlns:mc="http://schemas.openxmlformats.org/markup-compatibility/2006">
          <mc:Choice Requires="x14">
            <control shapeId="1056" r:id="rId6" name="Scroll Bar 32">
              <controlPr defaultSize="0" autoPict="0">
                <anchor moveWithCells="1">
                  <from>
                    <xdr:col>4</xdr:col>
                    <xdr:colOff>12700</xdr:colOff>
                    <xdr:row>18</xdr:row>
                    <xdr:rowOff>203200</xdr:rowOff>
                  </from>
                  <to>
                    <xdr:col>5</xdr:col>
                    <xdr:colOff>0</xdr:colOff>
                    <xdr:row>19</xdr:row>
                    <xdr:rowOff>241300</xdr:rowOff>
                  </to>
                </anchor>
              </controlPr>
            </control>
          </mc:Choice>
          <mc:Fallback/>
        </mc:AlternateContent>
        <mc:AlternateContent xmlns:mc="http://schemas.openxmlformats.org/markup-compatibility/2006">
          <mc:Choice Requires="x14">
            <control shapeId="1069" r:id="rId7" name="Drop Down 45">
              <controlPr defaultSize="0" autoLine="0" autoPict="0">
                <anchor moveWithCells="1">
                  <from>
                    <xdr:col>6</xdr:col>
                    <xdr:colOff>12700</xdr:colOff>
                    <xdr:row>28</xdr:row>
                    <xdr:rowOff>25400</xdr:rowOff>
                  </from>
                  <to>
                    <xdr:col>7</xdr:col>
                    <xdr:colOff>0</xdr:colOff>
                    <xdr:row>28</xdr:row>
                    <xdr:rowOff>266700</xdr:rowOff>
                  </to>
                </anchor>
              </controlPr>
            </control>
          </mc:Choice>
          <mc:Fallback/>
        </mc:AlternateContent>
        <mc:AlternateContent xmlns:mc="http://schemas.openxmlformats.org/markup-compatibility/2006">
          <mc:Choice Requires="x14">
            <control shapeId="1085" r:id="rId8" name="Drop Down 61">
              <controlPr defaultSize="0" autoLine="0" autoPict="0">
                <anchor moveWithCells="1">
                  <from>
                    <xdr:col>6</xdr:col>
                    <xdr:colOff>12700</xdr:colOff>
                    <xdr:row>31</xdr:row>
                    <xdr:rowOff>25400</xdr:rowOff>
                  </from>
                  <to>
                    <xdr:col>7</xdr:col>
                    <xdr:colOff>0</xdr:colOff>
                    <xdr:row>31</xdr:row>
                    <xdr:rowOff>266700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U21"/>
  <sheetViews>
    <sheetView showGridLines="0" showRowColHeaders="0" zoomScale="80" zoomScaleNormal="80" zoomScalePageLayoutView="8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8.83203125" defaultRowHeight="17" x14ac:dyDescent="0"/>
  <cols>
    <col min="1" max="1" width="24.6640625" style="3" customWidth="1"/>
    <col min="2" max="2" width="12.6640625" style="4" customWidth="1"/>
    <col min="3" max="3" width="12.6640625" style="5" customWidth="1"/>
    <col min="4" max="7" width="12.6640625" style="4" customWidth="1"/>
    <col min="8" max="12" width="8.83203125" style="6"/>
    <col min="13" max="13" width="9.5" style="6" bestFit="1" customWidth="1"/>
    <col min="14" max="16384" width="8.83203125" style="6"/>
  </cols>
  <sheetData>
    <row r="1" spans="1:21" ht="100" customHeight="1">
      <c r="A1" s="39"/>
      <c r="B1" s="39"/>
    </row>
    <row r="2" spans="1:21" s="3" customFormat="1" ht="17" customHeight="1">
      <c r="A2" s="56"/>
      <c r="B2" s="75">
        <v>2018</v>
      </c>
      <c r="C2" s="76"/>
      <c r="D2" s="76"/>
      <c r="E2" s="77"/>
      <c r="F2" s="75">
        <v>2019</v>
      </c>
      <c r="G2" s="76"/>
      <c r="H2" s="76"/>
      <c r="I2" s="78"/>
      <c r="J2" s="79">
        <v>2020</v>
      </c>
      <c r="K2" s="76"/>
      <c r="L2" s="76"/>
      <c r="M2" s="77"/>
      <c r="N2" s="75">
        <v>2021</v>
      </c>
      <c r="O2" s="76"/>
      <c r="P2" s="76"/>
      <c r="Q2" s="77"/>
      <c r="R2" s="75">
        <v>2022</v>
      </c>
      <c r="S2" s="76"/>
      <c r="T2" s="76"/>
      <c r="U2" s="77"/>
    </row>
    <row r="3" spans="1:21" s="3" customFormat="1">
      <c r="A3" s="40" t="s">
        <v>0</v>
      </c>
      <c r="B3" s="57" t="s">
        <v>74</v>
      </c>
      <c r="C3" s="58" t="s">
        <v>75</v>
      </c>
      <c r="D3" s="58" t="s">
        <v>76</v>
      </c>
      <c r="E3" s="58" t="s">
        <v>77</v>
      </c>
      <c r="F3" s="58" t="s">
        <v>74</v>
      </c>
      <c r="G3" s="58" t="s">
        <v>75</v>
      </c>
      <c r="H3" s="58" t="s">
        <v>76</v>
      </c>
      <c r="I3" s="58" t="s">
        <v>77</v>
      </c>
      <c r="J3" s="58" t="s">
        <v>74</v>
      </c>
      <c r="K3" s="58" t="s">
        <v>75</v>
      </c>
      <c r="L3" s="58" t="s">
        <v>76</v>
      </c>
      <c r="M3" s="58" t="s">
        <v>77</v>
      </c>
      <c r="N3" s="58" t="s">
        <v>74</v>
      </c>
      <c r="O3" s="58" t="s">
        <v>75</v>
      </c>
      <c r="P3" s="58" t="s">
        <v>76</v>
      </c>
      <c r="Q3" s="58" t="s">
        <v>77</v>
      </c>
      <c r="R3" s="58" t="s">
        <v>74</v>
      </c>
      <c r="S3" s="58" t="s">
        <v>75</v>
      </c>
      <c r="T3" s="58" t="s">
        <v>76</v>
      </c>
      <c r="U3" s="58" t="s">
        <v>77</v>
      </c>
    </row>
    <row r="4" spans="1:21">
      <c r="A4" s="3" t="str">
        <f>Para!D3</f>
        <v>Product Name</v>
      </c>
      <c r="B4" s="41">
        <v>10</v>
      </c>
      <c r="C4" s="41">
        <f>B4+5</f>
        <v>15</v>
      </c>
      <c r="D4" s="41">
        <f t="shared" ref="D4:U4" si="0">C4+5</f>
        <v>20</v>
      </c>
      <c r="E4" s="41">
        <f t="shared" si="0"/>
        <v>25</v>
      </c>
      <c r="F4" s="41">
        <f t="shared" si="0"/>
        <v>30</v>
      </c>
      <c r="G4" s="41">
        <f t="shared" si="0"/>
        <v>35</v>
      </c>
      <c r="H4" s="41">
        <f t="shared" si="0"/>
        <v>40</v>
      </c>
      <c r="I4" s="41">
        <f t="shared" si="0"/>
        <v>45</v>
      </c>
      <c r="J4" s="41">
        <f t="shared" si="0"/>
        <v>50</v>
      </c>
      <c r="K4" s="41">
        <f t="shared" si="0"/>
        <v>55</v>
      </c>
      <c r="L4" s="41">
        <f t="shared" si="0"/>
        <v>60</v>
      </c>
      <c r="M4" s="41">
        <f t="shared" si="0"/>
        <v>65</v>
      </c>
      <c r="N4" s="41">
        <f t="shared" si="0"/>
        <v>70</v>
      </c>
      <c r="O4" s="41">
        <f t="shared" si="0"/>
        <v>75</v>
      </c>
      <c r="P4" s="41">
        <f t="shared" si="0"/>
        <v>80</v>
      </c>
      <c r="Q4" s="41">
        <f t="shared" si="0"/>
        <v>85</v>
      </c>
      <c r="R4" s="41">
        <f t="shared" si="0"/>
        <v>90</v>
      </c>
      <c r="S4" s="41">
        <f t="shared" si="0"/>
        <v>95</v>
      </c>
      <c r="T4" s="41">
        <f t="shared" si="0"/>
        <v>100</v>
      </c>
      <c r="U4" s="41">
        <f t="shared" si="0"/>
        <v>105</v>
      </c>
    </row>
    <row r="5" spans="1:21" ht="13">
      <c r="A5" s="42"/>
      <c r="B5" s="42"/>
      <c r="C5" s="42"/>
      <c r="D5" s="42"/>
      <c r="E5" s="42"/>
      <c r="F5" s="42"/>
      <c r="G5" s="42"/>
      <c r="H5" s="42"/>
      <c r="I5" s="42"/>
      <c r="J5" s="42"/>
      <c r="K5" s="42"/>
      <c r="L5" s="42"/>
      <c r="M5" s="42"/>
      <c r="N5" s="42"/>
      <c r="O5" s="42"/>
      <c r="P5" s="42"/>
      <c r="Q5" s="42"/>
      <c r="R5" s="42"/>
      <c r="S5" s="42"/>
      <c r="T5" s="42"/>
      <c r="U5" s="42"/>
    </row>
    <row r="6" spans="1:21">
      <c r="A6" s="40" t="s">
        <v>68</v>
      </c>
      <c r="B6" s="8">
        <f>B$4*Para!$E$3</f>
        <v>350</v>
      </c>
      <c r="C6" s="8">
        <f>C$4*Para!$E$3</f>
        <v>525</v>
      </c>
      <c r="D6" s="8">
        <f>D$4*Para!$E$3</f>
        <v>700</v>
      </c>
      <c r="E6" s="8">
        <f>E$4*Para!$E$3</f>
        <v>875</v>
      </c>
      <c r="F6" s="8">
        <f>F$4*Para!$E$3</f>
        <v>1050</v>
      </c>
      <c r="G6" s="8">
        <f>G$4*Para!$E$3</f>
        <v>1225</v>
      </c>
      <c r="H6" s="8">
        <f>H$4*Para!$E$3</f>
        <v>1400</v>
      </c>
      <c r="I6" s="8">
        <f>I$4*Para!$E$3</f>
        <v>1575</v>
      </c>
      <c r="J6" s="8">
        <f>J$4*Para!$E$3</f>
        <v>1750</v>
      </c>
      <c r="K6" s="8">
        <f>K$4*Para!$E$3</f>
        <v>1925</v>
      </c>
      <c r="L6" s="8">
        <f>L$4*Para!$E$3</f>
        <v>2100</v>
      </c>
      <c r="M6" s="8">
        <f>M$4*Para!$E$3</f>
        <v>2275</v>
      </c>
      <c r="N6" s="8">
        <f>N$4*Para!$E$3</f>
        <v>2450</v>
      </c>
      <c r="O6" s="8">
        <f>O$4*Para!$E$3</f>
        <v>2625</v>
      </c>
      <c r="P6" s="8">
        <f>P$4*Para!$E$3</f>
        <v>2800</v>
      </c>
      <c r="Q6" s="8">
        <f>Q$4*Para!$E$3</f>
        <v>2975</v>
      </c>
      <c r="R6" s="8">
        <f>R$4*Para!$E$3</f>
        <v>3150</v>
      </c>
      <c r="S6" s="8">
        <f>S$4*Para!$E$3</f>
        <v>3325</v>
      </c>
      <c r="T6" s="8">
        <f>T$4*Para!$E$3</f>
        <v>3500</v>
      </c>
      <c r="U6" s="8">
        <f>U$4*Para!$E$3</f>
        <v>3675</v>
      </c>
    </row>
    <row r="7" spans="1:21">
      <c r="A7" s="40" t="s">
        <v>69</v>
      </c>
      <c r="B7" s="8">
        <f>B$4*Para!$E$5</f>
        <v>100</v>
      </c>
      <c r="C7" s="8">
        <f>C$4*Para!$E$5</f>
        <v>150</v>
      </c>
      <c r="D7" s="8">
        <f>D$4*Para!$E$5</f>
        <v>200</v>
      </c>
      <c r="E7" s="8">
        <f>E$4*Para!$E$5</f>
        <v>250</v>
      </c>
      <c r="F7" s="8">
        <f>F$4*Para!$E$5</f>
        <v>300</v>
      </c>
      <c r="G7" s="8">
        <f>G$4*Para!$E$5</f>
        <v>350</v>
      </c>
      <c r="H7" s="8">
        <f>H$4*Para!$E$5</f>
        <v>400</v>
      </c>
      <c r="I7" s="8">
        <f>I$4*Para!$E$5</f>
        <v>450</v>
      </c>
      <c r="J7" s="8">
        <f>J$4*Para!$E$5</f>
        <v>500</v>
      </c>
      <c r="K7" s="8">
        <f>K$4*Para!$E$5</f>
        <v>550</v>
      </c>
      <c r="L7" s="8">
        <f>L$4*Para!$E$5</f>
        <v>600</v>
      </c>
      <c r="M7" s="8">
        <f>M$4*Para!$E$5</f>
        <v>650</v>
      </c>
      <c r="N7" s="8">
        <f>N$4*Para!$E$5</f>
        <v>700</v>
      </c>
      <c r="O7" s="8">
        <f>O$4*Para!$E$5</f>
        <v>750</v>
      </c>
      <c r="P7" s="8">
        <f>P$4*Para!$E$5</f>
        <v>800</v>
      </c>
      <c r="Q7" s="8">
        <f>Q$4*Para!$E$5</f>
        <v>850</v>
      </c>
      <c r="R7" s="8">
        <f>R$4*Para!$E$5</f>
        <v>900</v>
      </c>
      <c r="S7" s="8">
        <f>S$4*Para!$E$5</f>
        <v>950</v>
      </c>
      <c r="T7" s="8">
        <f>T$4*Para!$E$5</f>
        <v>1000</v>
      </c>
      <c r="U7" s="8">
        <f>U$4*Para!$E$5</f>
        <v>1050</v>
      </c>
    </row>
    <row r="8" spans="1:21">
      <c r="A8" s="40" t="s">
        <v>70</v>
      </c>
      <c r="B8" s="8">
        <f>B$4*Para!$E$6</f>
        <v>40</v>
      </c>
      <c r="C8" s="8">
        <f>C$4*Para!$E$6</f>
        <v>60</v>
      </c>
      <c r="D8" s="8">
        <f>D$4*Para!$E$6</f>
        <v>80</v>
      </c>
      <c r="E8" s="8">
        <f>E$4*Para!$E$6</f>
        <v>100</v>
      </c>
      <c r="F8" s="8">
        <f>F$4*Para!$E$6</f>
        <v>120</v>
      </c>
      <c r="G8" s="8">
        <f>G$4*Para!$E$6</f>
        <v>140</v>
      </c>
      <c r="H8" s="8">
        <f>H$4*Para!$E$6</f>
        <v>160</v>
      </c>
      <c r="I8" s="8">
        <f>I$4*Para!$E$6</f>
        <v>180</v>
      </c>
      <c r="J8" s="8">
        <f>J$4*Para!$E$6</f>
        <v>200</v>
      </c>
      <c r="K8" s="8">
        <f>K$4*Para!$E$6</f>
        <v>220</v>
      </c>
      <c r="L8" s="8">
        <f>L$4*Para!$E$6</f>
        <v>240</v>
      </c>
      <c r="M8" s="8">
        <f>M$4*Para!$E$6</f>
        <v>260</v>
      </c>
      <c r="N8" s="8">
        <f>N$4*Para!$E$6</f>
        <v>280</v>
      </c>
      <c r="O8" s="8">
        <f>O$4*Para!$E$6</f>
        <v>300</v>
      </c>
      <c r="P8" s="8">
        <f>P$4*Para!$E$6</f>
        <v>320</v>
      </c>
      <c r="Q8" s="8">
        <f>Q$4*Para!$E$6</f>
        <v>340</v>
      </c>
      <c r="R8" s="8">
        <f>R$4*Para!$E$6</f>
        <v>360</v>
      </c>
      <c r="S8" s="8">
        <f>S$4*Para!$E$6</f>
        <v>380</v>
      </c>
      <c r="T8" s="8">
        <f>T$4*Para!$E$6</f>
        <v>400</v>
      </c>
      <c r="U8" s="8">
        <f>U$4*Para!$E$6</f>
        <v>420</v>
      </c>
    </row>
    <row r="9" spans="1:21">
      <c r="A9" s="40" t="s">
        <v>71</v>
      </c>
      <c r="B9" s="8">
        <f>B$4*Para!$E$7</f>
        <v>55</v>
      </c>
      <c r="C9" s="8">
        <f>C$4*Para!$E$7</f>
        <v>82.5</v>
      </c>
      <c r="D9" s="8">
        <f>D$4*Para!$E$7</f>
        <v>110</v>
      </c>
      <c r="E9" s="8">
        <f>E$4*Para!$E$7</f>
        <v>137.5</v>
      </c>
      <c r="F9" s="8">
        <f>F$4*Para!$E$7</f>
        <v>165</v>
      </c>
      <c r="G9" s="8">
        <f>G$4*Para!$E$7</f>
        <v>192.5</v>
      </c>
      <c r="H9" s="8">
        <f>H$4*Para!$E$7</f>
        <v>220</v>
      </c>
      <c r="I9" s="8">
        <f>I$4*Para!$E$7</f>
        <v>247.5</v>
      </c>
      <c r="J9" s="8">
        <f>J$4*Para!$E$7</f>
        <v>275</v>
      </c>
      <c r="K9" s="8">
        <f>K$4*Para!$E$7</f>
        <v>302.5</v>
      </c>
      <c r="L9" s="8">
        <f>L$4*Para!$E$7</f>
        <v>330</v>
      </c>
      <c r="M9" s="8">
        <f>M$4*Para!$E$7</f>
        <v>357.5</v>
      </c>
      <c r="N9" s="8">
        <f>N$4*Para!$E$7</f>
        <v>385</v>
      </c>
      <c r="O9" s="8">
        <f>O$4*Para!$E$7</f>
        <v>412.5</v>
      </c>
      <c r="P9" s="8">
        <f>P$4*Para!$E$7</f>
        <v>440</v>
      </c>
      <c r="Q9" s="8">
        <f>Q$4*Para!$E$7</f>
        <v>467.5</v>
      </c>
      <c r="R9" s="8">
        <f>R$4*Para!$E$7</f>
        <v>495</v>
      </c>
      <c r="S9" s="8">
        <f>S$4*Para!$E$7</f>
        <v>522.5</v>
      </c>
      <c r="T9" s="8">
        <f>T$4*Para!$E$7</f>
        <v>550</v>
      </c>
      <c r="U9" s="8">
        <f>U$4*Para!$E$7</f>
        <v>577.5</v>
      </c>
    </row>
    <row r="10" spans="1:21" ht="13">
      <c r="A10" s="42"/>
      <c r="B10" s="42"/>
      <c r="C10" s="42"/>
      <c r="D10" s="42"/>
      <c r="E10" s="42"/>
      <c r="F10" s="42"/>
      <c r="G10" s="42"/>
      <c r="H10" s="42"/>
      <c r="I10" s="42"/>
      <c r="J10" s="42"/>
      <c r="K10" s="42"/>
      <c r="L10" s="42"/>
      <c r="M10" s="42"/>
      <c r="N10" s="42"/>
      <c r="O10" s="42"/>
      <c r="P10" s="42"/>
      <c r="Q10" s="42"/>
      <c r="R10" s="42"/>
      <c r="S10" s="42"/>
      <c r="T10" s="42"/>
      <c r="U10" s="42"/>
    </row>
    <row r="11" spans="1:21" ht="13">
      <c r="A11" s="42"/>
      <c r="B11" s="42"/>
      <c r="C11" s="42"/>
      <c r="D11" s="42"/>
      <c r="E11" s="42"/>
      <c r="F11" s="42"/>
      <c r="G11" s="42"/>
      <c r="H11" s="42"/>
      <c r="I11" s="42"/>
      <c r="J11" s="42"/>
      <c r="K11" s="42"/>
      <c r="L11" s="42"/>
      <c r="M11" s="42"/>
      <c r="N11" s="42"/>
      <c r="O11" s="42"/>
      <c r="P11" s="42"/>
      <c r="Q11" s="42"/>
      <c r="R11" s="42"/>
      <c r="S11" s="42"/>
      <c r="T11" s="42"/>
      <c r="U11" s="42"/>
    </row>
    <row r="12" spans="1:21" ht="63" customHeight="1"/>
    <row r="13" spans="1:21" s="37" customFormat="1">
      <c r="A13" s="38" t="s">
        <v>8</v>
      </c>
      <c r="B13" s="7"/>
      <c r="C13" s="7"/>
      <c r="D13" s="7"/>
      <c r="E13" s="7"/>
      <c r="F13" s="7"/>
      <c r="G13" s="7"/>
      <c r="H13" s="7"/>
      <c r="I13" s="7"/>
      <c r="J13" s="7"/>
      <c r="K13" s="7"/>
      <c r="L13" s="7"/>
      <c r="M13" s="7"/>
      <c r="N13" s="7"/>
      <c r="O13" s="7"/>
      <c r="P13" s="7"/>
      <c r="Q13" s="7"/>
      <c r="R13" s="7"/>
      <c r="S13" s="7"/>
      <c r="T13" s="7"/>
      <c r="U13" s="7"/>
    </row>
    <row r="14" spans="1:21" s="37" customFormat="1">
      <c r="A14" s="38" t="s">
        <v>72</v>
      </c>
      <c r="B14" s="7"/>
      <c r="C14" s="7"/>
      <c r="D14" s="7"/>
      <c r="E14" s="7"/>
      <c r="F14" s="7"/>
      <c r="G14" s="7"/>
      <c r="H14" s="7"/>
      <c r="I14" s="7"/>
      <c r="J14" s="7"/>
      <c r="K14" s="7"/>
      <c r="L14" s="7"/>
      <c r="M14" s="7"/>
      <c r="N14" s="7"/>
      <c r="O14" s="7"/>
      <c r="P14" s="7"/>
      <c r="Q14" s="7"/>
      <c r="R14" s="7"/>
      <c r="S14" s="7"/>
      <c r="T14" s="7"/>
      <c r="U14" s="7"/>
    </row>
    <row r="15" spans="1:21" s="37" customFormat="1">
      <c r="A15" s="38" t="s">
        <v>10</v>
      </c>
      <c r="B15" s="7"/>
      <c r="C15" s="7"/>
      <c r="D15" s="7"/>
      <c r="E15" s="7"/>
      <c r="F15" s="7"/>
      <c r="G15" s="7"/>
      <c r="H15" s="7"/>
      <c r="I15" s="7"/>
      <c r="J15" s="7"/>
      <c r="K15" s="7"/>
      <c r="L15" s="7"/>
      <c r="M15" s="7"/>
      <c r="N15" s="7"/>
      <c r="O15" s="7"/>
      <c r="P15" s="7"/>
      <c r="Q15" s="7"/>
      <c r="R15" s="7"/>
      <c r="S15" s="7"/>
      <c r="T15" s="7"/>
      <c r="U15" s="7"/>
    </row>
    <row r="16" spans="1:21" s="37" customFormat="1">
      <c r="A16" s="38" t="s">
        <v>73</v>
      </c>
      <c r="B16" s="7"/>
      <c r="C16" s="7"/>
      <c r="D16" s="7"/>
      <c r="E16" s="7"/>
      <c r="F16" s="7"/>
      <c r="G16" s="7"/>
      <c r="H16" s="7"/>
      <c r="I16" s="7"/>
      <c r="J16" s="7"/>
      <c r="K16" s="7"/>
      <c r="L16" s="7"/>
      <c r="M16" s="7"/>
      <c r="N16" s="7"/>
      <c r="O16" s="7"/>
      <c r="P16" s="7"/>
      <c r="Q16" s="7"/>
      <c r="R16" s="7"/>
      <c r="S16" s="7"/>
      <c r="T16" s="7"/>
      <c r="U16" s="7"/>
    </row>
    <row r="17" spans="1:7" s="37" customFormat="1">
      <c r="A17" s="34"/>
      <c r="B17" s="35"/>
      <c r="C17" s="36"/>
      <c r="D17" s="35"/>
      <c r="E17" s="35"/>
      <c r="F17" s="35"/>
      <c r="G17" s="35"/>
    </row>
    <row r="18" spans="1:7" s="37" customFormat="1">
      <c r="A18" s="34"/>
      <c r="B18" s="35"/>
      <c r="C18" s="36"/>
      <c r="D18" s="35"/>
      <c r="E18" s="35"/>
      <c r="F18" s="35"/>
      <c r="G18" s="35"/>
    </row>
    <row r="19" spans="1:7" s="37" customFormat="1">
      <c r="A19" s="34"/>
      <c r="B19" s="35"/>
      <c r="C19" s="36"/>
      <c r="D19" s="35"/>
      <c r="E19" s="35"/>
      <c r="F19" s="35"/>
      <c r="G19" s="35"/>
    </row>
    <row r="20" spans="1:7" s="37" customFormat="1">
      <c r="A20" s="34"/>
      <c r="B20" s="35"/>
      <c r="C20" s="36"/>
      <c r="D20" s="35"/>
      <c r="E20" s="35"/>
      <c r="F20" s="35"/>
      <c r="G20" s="35"/>
    </row>
    <row r="21" spans="1:7" s="37" customFormat="1">
      <c r="A21" s="34"/>
      <c r="B21" s="35"/>
      <c r="C21" s="36"/>
      <c r="D21" s="35"/>
      <c r="E21" s="35"/>
      <c r="F21" s="35"/>
      <c r="G21" s="35"/>
    </row>
  </sheetData>
  <sheetProtection sheet="1" objects="1" scenarios="1" selectLockedCells="1"/>
  <mergeCells count="5">
    <mergeCell ref="B2:E2"/>
    <mergeCell ref="F2:I2"/>
    <mergeCell ref="J2:M2"/>
    <mergeCell ref="N2:Q2"/>
    <mergeCell ref="R2:U2"/>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BK66"/>
  <sheetViews>
    <sheetView showGridLines="0" showRowColHeaders="0" zoomScale="80" zoomScaleNormal="80" zoomScalePageLayoutView="80" workbookViewId="0">
      <selection activeCell="B26" sqref="B26"/>
    </sheetView>
  </sheetViews>
  <sheetFormatPr baseColWidth="10" defaultColWidth="8.83203125" defaultRowHeight="13" x14ac:dyDescent="0"/>
  <cols>
    <col min="1" max="1" width="24.6640625" style="6" customWidth="1"/>
    <col min="2" max="61" width="12.5" style="6" customWidth="1"/>
    <col min="62" max="16384" width="8.83203125" style="6"/>
  </cols>
  <sheetData>
    <row r="1" spans="1:63" ht="100" customHeight="1"/>
    <row r="2" spans="1:63" s="3" customFormat="1" ht="17" customHeight="1">
      <c r="B2" s="47" t="s">
        <v>58</v>
      </c>
      <c r="C2" s="80">
        <f>Para!E9</f>
        <v>2018</v>
      </c>
      <c r="D2" s="80"/>
      <c r="E2" s="80"/>
      <c r="F2" s="80"/>
      <c r="G2" s="80">
        <f>C2+1</f>
        <v>2019</v>
      </c>
      <c r="H2" s="80"/>
      <c r="I2" s="80"/>
      <c r="J2" s="80"/>
      <c r="K2" s="80">
        <f>G2+1</f>
        <v>2020</v>
      </c>
      <c r="L2" s="80"/>
      <c r="M2" s="80"/>
      <c r="N2" s="80"/>
      <c r="O2" s="80">
        <f>K2+1</f>
        <v>2021</v>
      </c>
      <c r="P2" s="80"/>
      <c r="Q2" s="80"/>
      <c r="R2" s="80"/>
      <c r="S2" s="80">
        <f>O2+1</f>
        <v>2022</v>
      </c>
      <c r="T2" s="80"/>
      <c r="U2" s="80"/>
      <c r="V2" s="80"/>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s="3" customFormat="1" ht="17">
      <c r="B3" s="40" t="s">
        <v>49</v>
      </c>
      <c r="C3" s="40" t="s">
        <v>25</v>
      </c>
      <c r="D3" s="40" t="s">
        <v>26</v>
      </c>
      <c r="E3" s="40" t="s">
        <v>27</v>
      </c>
      <c r="F3" s="40" t="s">
        <v>28</v>
      </c>
      <c r="G3" s="40" t="s">
        <v>25</v>
      </c>
      <c r="H3" s="40" t="s">
        <v>26</v>
      </c>
      <c r="I3" s="40" t="s">
        <v>27</v>
      </c>
      <c r="J3" s="40" t="s">
        <v>28</v>
      </c>
      <c r="K3" s="40" t="s">
        <v>25</v>
      </c>
      <c r="L3" s="40" t="s">
        <v>26</v>
      </c>
      <c r="M3" s="40" t="s">
        <v>27</v>
      </c>
      <c r="N3" s="40" t="s">
        <v>28</v>
      </c>
      <c r="O3" s="40" t="s">
        <v>25</v>
      </c>
      <c r="P3" s="40" t="s">
        <v>26</v>
      </c>
      <c r="Q3" s="40" t="s">
        <v>27</v>
      </c>
      <c r="R3" s="40" t="s">
        <v>28</v>
      </c>
      <c r="S3" s="40" t="s">
        <v>25</v>
      </c>
      <c r="T3" s="40" t="s">
        <v>26</v>
      </c>
      <c r="U3" s="40" t="s">
        <v>27</v>
      </c>
      <c r="V3" s="40" t="s">
        <v>28</v>
      </c>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c r="B4" s="37"/>
      <c r="C4" s="37"/>
      <c r="D4" s="37"/>
      <c r="E4" s="37"/>
      <c r="F4" s="37"/>
      <c r="G4" s="37"/>
      <c r="H4" s="37"/>
      <c r="I4" s="37"/>
      <c r="J4" s="37"/>
      <c r="K4" s="37"/>
      <c r="L4" s="37"/>
      <c r="M4" s="37"/>
      <c r="N4" s="37"/>
      <c r="O4" s="37"/>
      <c r="P4" s="37"/>
      <c r="Q4" s="37"/>
      <c r="R4" s="37"/>
      <c r="S4" s="37"/>
      <c r="T4" s="37"/>
      <c r="U4" s="37"/>
      <c r="V4" s="37"/>
    </row>
    <row r="5" spans="1:63" ht="17">
      <c r="A5" s="3" t="s">
        <v>29</v>
      </c>
      <c r="B5" s="41">
        <v>0</v>
      </c>
      <c r="C5" s="44">
        <f>$B5+CF!B22</f>
        <v>-108.85</v>
      </c>
      <c r="D5" s="44">
        <f>$B5+CF!C22</f>
        <v>-31.525000000000006</v>
      </c>
      <c r="E5" s="44">
        <f>$B5+CF!D22</f>
        <v>111.67500000000001</v>
      </c>
      <c r="F5" s="44">
        <f>$B5+CF!E22</f>
        <v>320.74999999999994</v>
      </c>
      <c r="G5" s="44">
        <f>$B5+CF!F22</f>
        <v>595.70000000000005</v>
      </c>
      <c r="H5" s="44">
        <f>$B5+CF!G22</f>
        <v>98811.524999999994</v>
      </c>
      <c r="I5" s="44">
        <f>$B5+CF!H22</f>
        <v>97093.224999999991</v>
      </c>
      <c r="J5" s="44">
        <f>$B5+CF!I22</f>
        <v>-5384.2000000000116</v>
      </c>
      <c r="K5" s="44">
        <f>$B5+CF!J22</f>
        <v>-6595.7500000000118</v>
      </c>
      <c r="L5" s="44">
        <f>$B5+CF!K22</f>
        <v>-7741.425000000012</v>
      </c>
      <c r="M5" s="44">
        <f>$B5+CF!L22</f>
        <v>-8821.2250000000113</v>
      </c>
      <c r="N5" s="44">
        <f>$B5+CF!M22</f>
        <v>-9835.1500000000106</v>
      </c>
      <c r="O5" s="44">
        <f>$B5+CF!N22</f>
        <v>-10783.20000000001</v>
      </c>
      <c r="P5" s="44">
        <f>$B5+CF!O22</f>
        <v>-11665.375000000011</v>
      </c>
      <c r="Q5" s="44">
        <f>$B5+CF!P22</f>
        <v>-12481.67500000001</v>
      </c>
      <c r="R5" s="44">
        <f>$B5+CF!Q22</f>
        <v>-13232.100000000009</v>
      </c>
      <c r="S5" s="44">
        <f>$B5+CF!R22</f>
        <v>-13916.650000000009</v>
      </c>
      <c r="T5" s="44">
        <f>$B5+CF!S22</f>
        <v>-14535.325000000008</v>
      </c>
      <c r="U5" s="44">
        <f>$B5+CF!T22</f>
        <v>-15088.125000000007</v>
      </c>
      <c r="V5" s="44">
        <f>$B5+CF!U22</f>
        <v>-15575.050000000007</v>
      </c>
    </row>
    <row r="6" spans="1:63" ht="17">
      <c r="A6" s="3" t="s">
        <v>30</v>
      </c>
      <c r="B6" s="41">
        <v>0</v>
      </c>
      <c r="C6" s="44">
        <f>B6+Inc!B4*Para!$E15*4</f>
        <v>189</v>
      </c>
      <c r="D6" s="44">
        <f>Inc!C4*Para!$E15*4</f>
        <v>283.5</v>
      </c>
      <c r="E6" s="44">
        <f>Inc!D4*Para!$E15*4</f>
        <v>378</v>
      </c>
      <c r="F6" s="44">
        <f>Inc!E4*Para!$E15*4</f>
        <v>472.50000000000006</v>
      </c>
      <c r="G6" s="44">
        <f>Inc!F4*Para!$E15*4</f>
        <v>567</v>
      </c>
      <c r="H6" s="44">
        <f>Inc!G4*Para!$E15*4</f>
        <v>661.5</v>
      </c>
      <c r="I6" s="44">
        <f>Inc!H4*Para!$E15*4</f>
        <v>756</v>
      </c>
      <c r="J6" s="44">
        <f>Inc!I4*Para!$E15*4</f>
        <v>850.5</v>
      </c>
      <c r="K6" s="44">
        <f>Inc!J4*Para!$E15*4</f>
        <v>945.00000000000011</v>
      </c>
      <c r="L6" s="44">
        <f>Inc!K4*Para!$E15*4</f>
        <v>1039.5</v>
      </c>
      <c r="M6" s="44">
        <f>Inc!L4*Para!$E15*4</f>
        <v>1134</v>
      </c>
      <c r="N6" s="44">
        <f>Inc!M4*Para!$E15*4</f>
        <v>1228.5</v>
      </c>
      <c r="O6" s="44">
        <f>Inc!N4*Para!$E15*4</f>
        <v>1323</v>
      </c>
      <c r="P6" s="44">
        <f>Inc!O4*Para!$E15*4</f>
        <v>1417.5</v>
      </c>
      <c r="Q6" s="44">
        <f>Inc!P4*Para!$E15*4</f>
        <v>1512</v>
      </c>
      <c r="R6" s="44">
        <f>Inc!Q4*Para!$E15*4</f>
        <v>1606.5</v>
      </c>
      <c r="S6" s="44">
        <f>Inc!R4*Para!$E15*4</f>
        <v>1701</v>
      </c>
      <c r="T6" s="44">
        <f>Inc!S4*Para!$E15*4</f>
        <v>1795.5000000000002</v>
      </c>
      <c r="U6" s="44">
        <f>Inc!T4*Para!$E15*4</f>
        <v>1890.0000000000002</v>
      </c>
      <c r="V6" s="44">
        <f>Inc!U4*Para!$E15*4</f>
        <v>1984.5000000000002</v>
      </c>
    </row>
    <row r="7" spans="1:63" ht="17">
      <c r="A7" s="3" t="s">
        <v>31</v>
      </c>
      <c r="B7" s="41">
        <v>0</v>
      </c>
      <c r="C7" s="50">
        <f>B7+Inc!B11*Para!$E$18*4</f>
        <v>93.6</v>
      </c>
      <c r="D7" s="44">
        <f>Inc!C11*Para!$E$18*4</f>
        <v>140.4</v>
      </c>
      <c r="E7" s="44">
        <f>Inc!D11*Para!$E$18*4</f>
        <v>187.2</v>
      </c>
      <c r="F7" s="44">
        <f>Inc!E11*Para!$E$18*4</f>
        <v>234</v>
      </c>
      <c r="G7" s="44">
        <f>Inc!F11*Para!$E$18*4</f>
        <v>280.8</v>
      </c>
      <c r="H7" s="44">
        <f>Inc!G11*Para!$E$18*4</f>
        <v>327.59999999999997</v>
      </c>
      <c r="I7" s="44">
        <f>Inc!H11*Para!$E$18*4</f>
        <v>374.4</v>
      </c>
      <c r="J7" s="44">
        <f>Inc!I11*Para!$E$18*4</f>
        <v>1621.2</v>
      </c>
      <c r="K7" s="44">
        <f>Inc!J11*Para!$E$18*4</f>
        <v>1668</v>
      </c>
      <c r="L7" s="44">
        <f>Inc!K11*Para!$E$18*4</f>
        <v>1714.8</v>
      </c>
      <c r="M7" s="44">
        <f>Inc!L11*Para!$E$18*4</f>
        <v>1761.6</v>
      </c>
      <c r="N7" s="44">
        <f>Inc!M11*Para!$E$18*4</f>
        <v>1808.3999999999999</v>
      </c>
      <c r="O7" s="44">
        <f>Inc!N11*Para!$E$18*4</f>
        <v>1855.1999999999998</v>
      </c>
      <c r="P7" s="44">
        <f>Inc!O11*Para!$E$18*4</f>
        <v>1902</v>
      </c>
      <c r="Q7" s="44">
        <f>Inc!P11*Para!$E$18*4</f>
        <v>1948.8</v>
      </c>
      <c r="R7" s="44">
        <f>Inc!Q11*Para!$E$18*4</f>
        <v>1995.6</v>
      </c>
      <c r="S7" s="44">
        <f>Inc!R11*Para!$E$18*4</f>
        <v>2042.3999999999999</v>
      </c>
      <c r="T7" s="44">
        <f>Inc!S11*Para!$E$18*4</f>
        <v>2089.1999999999998</v>
      </c>
      <c r="U7" s="44">
        <f>Inc!T11*Para!$E$18*4</f>
        <v>2136</v>
      </c>
      <c r="V7" s="44">
        <f>Inc!U11*Para!$E$18*4</f>
        <v>2182.7999999999997</v>
      </c>
    </row>
    <row r="8" spans="1:63" ht="17">
      <c r="A8" s="3" t="s">
        <v>32</v>
      </c>
      <c r="B8" s="41">
        <v>0</v>
      </c>
      <c r="C8" s="41">
        <v>0</v>
      </c>
      <c r="D8" s="41">
        <v>0</v>
      </c>
      <c r="E8" s="41">
        <v>0</v>
      </c>
      <c r="F8" s="41">
        <v>0</v>
      </c>
      <c r="G8" s="41">
        <v>0</v>
      </c>
      <c r="H8" s="41">
        <v>0</v>
      </c>
      <c r="I8" s="41">
        <v>0</v>
      </c>
      <c r="J8" s="41">
        <v>0</v>
      </c>
      <c r="K8" s="41">
        <v>0</v>
      </c>
      <c r="L8" s="41">
        <v>0</v>
      </c>
      <c r="M8" s="41">
        <v>0</v>
      </c>
      <c r="N8" s="41">
        <v>0</v>
      </c>
      <c r="O8" s="41">
        <v>0</v>
      </c>
      <c r="P8" s="41">
        <v>0</v>
      </c>
      <c r="Q8" s="41">
        <v>0</v>
      </c>
      <c r="R8" s="41">
        <v>0</v>
      </c>
      <c r="S8" s="41">
        <v>0</v>
      </c>
      <c r="T8" s="41">
        <v>0</v>
      </c>
      <c r="U8" s="41">
        <v>0</v>
      </c>
      <c r="V8" s="41">
        <v>0</v>
      </c>
    </row>
    <row r="9" spans="1:63">
      <c r="B9" s="48"/>
      <c r="C9" s="49"/>
      <c r="D9" s="49"/>
      <c r="E9" s="49"/>
      <c r="F9" s="49"/>
      <c r="G9" s="49"/>
      <c r="H9" s="49"/>
      <c r="I9" s="49"/>
      <c r="J9" s="49"/>
      <c r="K9" s="49"/>
      <c r="L9" s="49"/>
      <c r="M9" s="49"/>
      <c r="N9" s="49"/>
      <c r="O9" s="49"/>
      <c r="P9" s="49"/>
      <c r="Q9" s="49"/>
      <c r="R9" s="49"/>
      <c r="S9" s="49"/>
      <c r="T9" s="49"/>
      <c r="U9" s="49"/>
      <c r="V9" s="49"/>
    </row>
    <row r="10" spans="1:63" ht="17">
      <c r="A10" s="3" t="s">
        <v>33</v>
      </c>
      <c r="B10" s="44">
        <f>SUM(B5:B8)</f>
        <v>0</v>
      </c>
      <c r="C10" s="44">
        <f>SUM(C5:C8)</f>
        <v>173.75</v>
      </c>
      <c r="D10" s="44">
        <f>SUM(D5:D8)</f>
        <v>392.375</v>
      </c>
      <c r="E10" s="44">
        <f>SUM(E5:E8)</f>
        <v>676.875</v>
      </c>
      <c r="F10" s="44">
        <f t="shared" ref="F10:V10" si="0">SUM(F5:F8)</f>
        <v>1027.25</v>
      </c>
      <c r="G10" s="44">
        <f t="shared" si="0"/>
        <v>1443.5</v>
      </c>
      <c r="H10" s="44">
        <f t="shared" si="0"/>
        <v>99800.625</v>
      </c>
      <c r="I10" s="44">
        <f t="shared" si="0"/>
        <v>98223.624999999985</v>
      </c>
      <c r="J10" s="44">
        <f t="shared" si="0"/>
        <v>-2912.5000000000118</v>
      </c>
      <c r="K10" s="44">
        <f t="shared" si="0"/>
        <v>-3982.7500000000118</v>
      </c>
      <c r="L10" s="44">
        <f t="shared" si="0"/>
        <v>-4987.1250000000118</v>
      </c>
      <c r="M10" s="44">
        <f t="shared" si="0"/>
        <v>-5925.6250000000109</v>
      </c>
      <c r="N10" s="44">
        <f t="shared" si="0"/>
        <v>-6798.2500000000109</v>
      </c>
      <c r="O10" s="44">
        <f t="shared" si="0"/>
        <v>-7605.00000000001</v>
      </c>
      <c r="P10" s="44">
        <f t="shared" si="0"/>
        <v>-8345.8750000000109</v>
      </c>
      <c r="Q10" s="44">
        <f t="shared" si="0"/>
        <v>-9020.8750000000109</v>
      </c>
      <c r="R10" s="44">
        <f t="shared" si="0"/>
        <v>-9630.0000000000091</v>
      </c>
      <c r="S10" s="44">
        <f t="shared" si="0"/>
        <v>-10173.250000000009</v>
      </c>
      <c r="T10" s="44">
        <f t="shared" si="0"/>
        <v>-10650.625000000007</v>
      </c>
      <c r="U10" s="44">
        <f t="shared" si="0"/>
        <v>-11062.125000000007</v>
      </c>
      <c r="V10" s="44">
        <f t="shared" si="0"/>
        <v>-11407.750000000007</v>
      </c>
    </row>
    <row r="11" spans="1:63">
      <c r="B11" s="48"/>
      <c r="C11" s="49"/>
      <c r="D11" s="49"/>
      <c r="E11" s="49"/>
      <c r="F11" s="49"/>
      <c r="G11" s="49"/>
      <c r="H11" s="49"/>
      <c r="I11" s="49"/>
      <c r="J11" s="49"/>
      <c r="K11" s="49"/>
      <c r="L11" s="49"/>
      <c r="M11" s="49"/>
      <c r="N11" s="49"/>
      <c r="O11" s="49"/>
      <c r="P11" s="49"/>
      <c r="Q11" s="49"/>
      <c r="R11" s="49"/>
      <c r="S11" s="49"/>
      <c r="T11" s="49"/>
      <c r="U11" s="49"/>
      <c r="V11" s="49"/>
    </row>
    <row r="12" spans="1:63" ht="18" customHeight="1">
      <c r="A12" s="3" t="s">
        <v>34</v>
      </c>
      <c r="B12" s="41">
        <v>0</v>
      </c>
      <c r="C12" s="44">
        <f>B12+SUMIF(Para!$G29:$G29,1,Para!$E29:$E29)</f>
        <v>0</v>
      </c>
      <c r="D12" s="44">
        <f>C12+SUMIF(Para!$G29:$G29,2,Para!$E29:$E29)</f>
        <v>0</v>
      </c>
      <c r="E12" s="44">
        <f>D12+SUMIF(Para!$G29:$G29,3,Para!$E29:$E29)</f>
        <v>0</v>
      </c>
      <c r="F12" s="44">
        <f>E12+SUMIF(Para!$G29:$G29,4,Para!$E29:$E29)</f>
        <v>0</v>
      </c>
      <c r="G12" s="44">
        <f>F12+SUMIF(Para!$G29:$G29,5,Para!$E29:$E29)</f>
        <v>0</v>
      </c>
      <c r="H12" s="44">
        <f>G12+SUMIF(Para!$G29:$G29,6,Para!$E29:$E29)</f>
        <v>0</v>
      </c>
      <c r="I12" s="44">
        <f>H12+SUMIF(Para!$G29:$G29,7,Para!$E29:$E29)</f>
        <v>0</v>
      </c>
      <c r="J12" s="44">
        <f>I12+SUMIF(Para!$G29:$G29,8,Para!$E29:$E29)</f>
        <v>100000</v>
      </c>
      <c r="K12" s="44">
        <f>J12+SUMIF(Para!$G29:$G29,9,Para!$E29:$E29)</f>
        <v>100000</v>
      </c>
      <c r="L12" s="44">
        <f>K12+SUMIF(Para!$G29:$G29,10,Para!$E29:$E29)</f>
        <v>100000</v>
      </c>
      <c r="M12" s="44">
        <f>L12+SUMIF(Para!$G29:$G29,11,Para!$E29:$E29)</f>
        <v>100000</v>
      </c>
      <c r="N12" s="44">
        <f>M12+SUMIF(Para!$G29:$G29,12,Para!$E29:$E29)</f>
        <v>100000</v>
      </c>
      <c r="O12" s="44">
        <f>N12+SUMIF(Para!$G29:$G29,13,Para!$E29:$E29)</f>
        <v>100000</v>
      </c>
      <c r="P12" s="44">
        <f>O12+SUMIF(Para!$G29:$G29,14,Para!$E29:$E29)</f>
        <v>100000</v>
      </c>
      <c r="Q12" s="44">
        <f>P12+SUMIF(Para!$G29:$G29,15,Para!$E29:$E29)</f>
        <v>100000</v>
      </c>
      <c r="R12" s="44">
        <f>Q12+SUMIF(Para!$G29:$G29,16,Para!$E29:$E29)</f>
        <v>100000</v>
      </c>
      <c r="S12" s="44">
        <f>R12+SUMIF(Para!$G29:$G29,17,Para!$E29:$E29)</f>
        <v>100000</v>
      </c>
      <c r="T12" s="44">
        <f>S12+SUMIF(Para!$G29:$G29,18,Para!$E29:$E29)</f>
        <v>100000</v>
      </c>
      <c r="U12" s="44">
        <f>T12+SUMIF(Para!$G29:$G29,19,Para!$E29:$E29)</f>
        <v>100000</v>
      </c>
      <c r="V12" s="44">
        <f>U12+SUMIF(Para!$G29:$G29,20,Para!$E29:$E29)</f>
        <v>100000</v>
      </c>
    </row>
    <row r="13" spans="1:63" ht="17" hidden="1" customHeight="1">
      <c r="A13" s="3" t="s">
        <v>64</v>
      </c>
      <c r="B13" s="41">
        <v>0</v>
      </c>
      <c r="C13" s="50">
        <f>IF(SUM($B13:B13)&gt;=C12,0,B12/(Para!$E$25*4))</f>
        <v>0</v>
      </c>
      <c r="D13" s="50">
        <f>IF(SUM($B13:C13)&gt;=D12,0,C12/(Para!$E$25*4))</f>
        <v>0</v>
      </c>
      <c r="E13" s="50">
        <f>IF(SUM($B13:D13)&gt;=E12,0,D12/(Para!$E$25*4))</f>
        <v>0</v>
      </c>
      <c r="F13" s="50">
        <f>IF(SUM($B13:E13)&gt;=F12,0,E12/(Para!$E$25*4))</f>
        <v>0</v>
      </c>
      <c r="G13" s="50">
        <f>IF(SUM($B13:F13)&gt;=G12,0,F12/(Para!$E$25*4))</f>
        <v>0</v>
      </c>
      <c r="H13" s="50">
        <f>IF(SUM($B13:G13)&gt;=H12,0,G12/(Para!$E$25*4))</f>
        <v>0</v>
      </c>
      <c r="I13" s="50">
        <f>IF(SUM($B13:H13)&gt;=I12,0,H12/(Para!$E$25*4))</f>
        <v>0</v>
      </c>
      <c r="J13" s="50">
        <f>IF(SUM($B13:I13)&gt;=J12,0,I12/(Para!$E$25*4))</f>
        <v>0</v>
      </c>
      <c r="K13" s="50">
        <f>IF(SUM($B13:J13)&gt;=K12,0,J12/(Para!$E$25*4))</f>
        <v>2500</v>
      </c>
      <c r="L13" s="50">
        <f>IF(SUM($B13:K13)&gt;=L12,0,K12/(Para!$E$25*4))</f>
        <v>2500</v>
      </c>
      <c r="M13" s="50">
        <f>IF(SUM($B13:L13)&gt;=M12,0,L12/(Para!$E$25*4))</f>
        <v>2500</v>
      </c>
      <c r="N13" s="50">
        <f>IF(SUM($B13:M13)&gt;=N12,0,M12/(Para!$E$25*4))</f>
        <v>2500</v>
      </c>
      <c r="O13" s="50">
        <f>IF(SUM($B13:N13)&gt;=O12,0,N12/(Para!$E$25*4))</f>
        <v>2500</v>
      </c>
      <c r="P13" s="50">
        <f>IF(SUM($B13:O13)&gt;=P12,0,O12/(Para!$E$25*4))</f>
        <v>2500</v>
      </c>
      <c r="Q13" s="50">
        <f>IF(SUM($B13:P13)&gt;=Q12,0,P12/(Para!$E$25*4))</f>
        <v>2500</v>
      </c>
      <c r="R13" s="50">
        <f>IF(SUM($B13:Q13)&gt;=R12,0,Q12/(Para!$E$25*4))</f>
        <v>2500</v>
      </c>
      <c r="S13" s="50">
        <f>IF(SUM($B13:R13)&gt;=S12,0,R12/(Para!$E$25*4))</f>
        <v>2500</v>
      </c>
      <c r="T13" s="50">
        <f>IF(SUM($B13:S13)&gt;=T12,0,S12/(Para!$E$25*4))</f>
        <v>2500</v>
      </c>
      <c r="U13" s="50">
        <f>IF(SUM($B13:T13)&gt;=U12,0,T12/(Para!$E$25*4))</f>
        <v>2500</v>
      </c>
      <c r="V13" s="50">
        <f>IF(SUM($B13:U13)&gt;=V12,0,U12/(Para!$E$25*4))</f>
        <v>2500</v>
      </c>
    </row>
    <row r="14" spans="1:63" ht="17" hidden="1" customHeight="1">
      <c r="A14" s="3" t="s">
        <v>65</v>
      </c>
      <c r="B14" s="41">
        <v>0</v>
      </c>
      <c r="C14" s="50">
        <f>B14+C13</f>
        <v>0</v>
      </c>
      <c r="D14" s="50">
        <f t="shared" ref="D14:V14" si="1">C14+D13</f>
        <v>0</v>
      </c>
      <c r="E14" s="50">
        <f t="shared" si="1"/>
        <v>0</v>
      </c>
      <c r="F14" s="50">
        <f t="shared" si="1"/>
        <v>0</v>
      </c>
      <c r="G14" s="50">
        <f t="shared" si="1"/>
        <v>0</v>
      </c>
      <c r="H14" s="50">
        <f t="shared" si="1"/>
        <v>0</v>
      </c>
      <c r="I14" s="50">
        <f t="shared" si="1"/>
        <v>0</v>
      </c>
      <c r="J14" s="50">
        <f t="shared" si="1"/>
        <v>0</v>
      </c>
      <c r="K14" s="50">
        <f t="shared" si="1"/>
        <v>2500</v>
      </c>
      <c r="L14" s="50">
        <f t="shared" si="1"/>
        <v>5000</v>
      </c>
      <c r="M14" s="50">
        <f t="shared" si="1"/>
        <v>7500</v>
      </c>
      <c r="N14" s="50">
        <f t="shared" si="1"/>
        <v>10000</v>
      </c>
      <c r="O14" s="50">
        <f t="shared" si="1"/>
        <v>12500</v>
      </c>
      <c r="P14" s="50">
        <f t="shared" si="1"/>
        <v>15000</v>
      </c>
      <c r="Q14" s="50">
        <f t="shared" si="1"/>
        <v>17500</v>
      </c>
      <c r="R14" s="50">
        <f t="shared" si="1"/>
        <v>20000</v>
      </c>
      <c r="S14" s="50">
        <f t="shared" si="1"/>
        <v>22500</v>
      </c>
      <c r="T14" s="50">
        <f t="shared" si="1"/>
        <v>25000</v>
      </c>
      <c r="U14" s="50">
        <f t="shared" si="1"/>
        <v>27500</v>
      </c>
      <c r="V14" s="50">
        <f t="shared" si="1"/>
        <v>30000</v>
      </c>
    </row>
    <row r="15" spans="1:63" ht="17" customHeight="1">
      <c r="A15" s="3" t="s">
        <v>35</v>
      </c>
      <c r="B15" s="41">
        <v>0</v>
      </c>
      <c r="C15" s="70">
        <f>B15+Inc!B9</f>
        <v>0</v>
      </c>
      <c r="D15" s="44">
        <f>C15+Inc!C9</f>
        <v>0</v>
      </c>
      <c r="E15" s="44">
        <f>D15+Inc!D9</f>
        <v>0</v>
      </c>
      <c r="F15" s="44">
        <f>E15+Inc!E9</f>
        <v>0</v>
      </c>
      <c r="G15" s="44">
        <f>F15+Inc!F9</f>
        <v>0</v>
      </c>
      <c r="H15" s="44">
        <f>G15+Inc!G9</f>
        <v>0</v>
      </c>
      <c r="I15" s="44">
        <f>H15+Inc!H9</f>
        <v>0</v>
      </c>
      <c r="J15" s="44">
        <f>I15+Inc!I9</f>
        <v>2500</v>
      </c>
      <c r="K15" s="44">
        <f>J15+Inc!J9</f>
        <v>5000</v>
      </c>
      <c r="L15" s="44">
        <f>K15+Inc!K9</f>
        <v>7500</v>
      </c>
      <c r="M15" s="44">
        <f>L15+Inc!L9</f>
        <v>10000</v>
      </c>
      <c r="N15" s="44">
        <f>M15+Inc!M9</f>
        <v>12500</v>
      </c>
      <c r="O15" s="44">
        <f>N15+Inc!N9</f>
        <v>15000</v>
      </c>
      <c r="P15" s="44">
        <f>O15+Inc!O9</f>
        <v>17500</v>
      </c>
      <c r="Q15" s="44">
        <f>P15+Inc!P9</f>
        <v>20000</v>
      </c>
      <c r="R15" s="44">
        <f>Q15+Inc!Q9</f>
        <v>22500</v>
      </c>
      <c r="S15" s="44">
        <f>R15+Inc!R9</f>
        <v>25000</v>
      </c>
      <c r="T15" s="44">
        <f>S15+Inc!S9</f>
        <v>27500</v>
      </c>
      <c r="U15" s="44">
        <f>T15+Inc!T9</f>
        <v>30000</v>
      </c>
      <c r="V15" s="44">
        <f>U15+Inc!U9</f>
        <v>32500</v>
      </c>
    </row>
    <row r="16" spans="1:63" ht="17" customHeight="1">
      <c r="A16" s="3" t="s">
        <v>36</v>
      </c>
      <c r="B16" s="44">
        <f>B12-B15</f>
        <v>0</v>
      </c>
      <c r="C16" s="44">
        <f>C12-C15</f>
        <v>0</v>
      </c>
      <c r="D16" s="44">
        <f t="shared" ref="D16:V16" si="2">D12-D15</f>
        <v>0</v>
      </c>
      <c r="E16" s="44">
        <f t="shared" si="2"/>
        <v>0</v>
      </c>
      <c r="F16" s="44">
        <f t="shared" si="2"/>
        <v>0</v>
      </c>
      <c r="G16" s="44">
        <f t="shared" si="2"/>
        <v>0</v>
      </c>
      <c r="H16" s="44">
        <f t="shared" si="2"/>
        <v>0</v>
      </c>
      <c r="I16" s="44">
        <f t="shared" si="2"/>
        <v>0</v>
      </c>
      <c r="J16" s="44">
        <f t="shared" si="2"/>
        <v>97500</v>
      </c>
      <c r="K16" s="44">
        <f t="shared" si="2"/>
        <v>95000</v>
      </c>
      <c r="L16" s="44">
        <f t="shared" si="2"/>
        <v>92500</v>
      </c>
      <c r="M16" s="44">
        <f t="shared" si="2"/>
        <v>90000</v>
      </c>
      <c r="N16" s="44">
        <f t="shared" si="2"/>
        <v>87500</v>
      </c>
      <c r="O16" s="44">
        <f t="shared" si="2"/>
        <v>85000</v>
      </c>
      <c r="P16" s="44">
        <f t="shared" si="2"/>
        <v>82500</v>
      </c>
      <c r="Q16" s="44">
        <f t="shared" si="2"/>
        <v>80000</v>
      </c>
      <c r="R16" s="44">
        <f t="shared" si="2"/>
        <v>77500</v>
      </c>
      <c r="S16" s="44">
        <f t="shared" si="2"/>
        <v>75000</v>
      </c>
      <c r="T16" s="44">
        <f t="shared" si="2"/>
        <v>72500</v>
      </c>
      <c r="U16" s="44">
        <f t="shared" si="2"/>
        <v>70000</v>
      </c>
      <c r="V16" s="44">
        <f t="shared" si="2"/>
        <v>67500</v>
      </c>
    </row>
    <row r="17" spans="1:22">
      <c r="B17" s="48"/>
      <c r="C17" s="49"/>
      <c r="D17" s="49"/>
      <c r="E17" s="49"/>
      <c r="F17" s="49"/>
      <c r="G17" s="49"/>
      <c r="H17" s="49"/>
      <c r="I17" s="49"/>
      <c r="J17" s="49"/>
      <c r="K17" s="49"/>
      <c r="L17" s="49"/>
      <c r="M17" s="49"/>
      <c r="N17" s="49"/>
      <c r="O17" s="49"/>
      <c r="P17" s="49"/>
      <c r="Q17" s="49"/>
      <c r="R17" s="49"/>
      <c r="S17" s="49"/>
      <c r="T17" s="49"/>
      <c r="U17" s="49"/>
      <c r="V17" s="49"/>
    </row>
    <row r="18" spans="1:22" ht="17">
      <c r="A18" s="3" t="s">
        <v>37</v>
      </c>
      <c r="B18" s="44">
        <f>B10+B16</f>
        <v>0</v>
      </c>
      <c r="C18" s="44">
        <f t="shared" ref="C18:V18" si="3">C10+C16</f>
        <v>173.75</v>
      </c>
      <c r="D18" s="44">
        <f t="shared" si="3"/>
        <v>392.375</v>
      </c>
      <c r="E18" s="44">
        <f t="shared" si="3"/>
        <v>676.875</v>
      </c>
      <c r="F18" s="44">
        <f t="shared" si="3"/>
        <v>1027.25</v>
      </c>
      <c r="G18" s="44">
        <f t="shared" si="3"/>
        <v>1443.5</v>
      </c>
      <c r="H18" s="44">
        <f t="shared" si="3"/>
        <v>99800.625</v>
      </c>
      <c r="I18" s="44">
        <f t="shared" si="3"/>
        <v>98223.624999999985</v>
      </c>
      <c r="J18" s="44">
        <f t="shared" si="3"/>
        <v>94587.499999999985</v>
      </c>
      <c r="K18" s="44">
        <f t="shared" si="3"/>
        <v>91017.249999999985</v>
      </c>
      <c r="L18" s="44">
        <f t="shared" si="3"/>
        <v>87512.874999999985</v>
      </c>
      <c r="M18" s="44">
        <f t="shared" si="3"/>
        <v>84074.374999999985</v>
      </c>
      <c r="N18" s="44">
        <f t="shared" si="3"/>
        <v>80701.749999999985</v>
      </c>
      <c r="O18" s="44">
        <f t="shared" si="3"/>
        <v>77394.999999999985</v>
      </c>
      <c r="P18" s="44">
        <f t="shared" si="3"/>
        <v>74154.124999999985</v>
      </c>
      <c r="Q18" s="44">
        <f t="shared" si="3"/>
        <v>70979.124999999985</v>
      </c>
      <c r="R18" s="44">
        <f t="shared" si="3"/>
        <v>67869.999999999985</v>
      </c>
      <c r="S18" s="44">
        <f t="shared" si="3"/>
        <v>64826.749999999993</v>
      </c>
      <c r="T18" s="44">
        <f t="shared" si="3"/>
        <v>61849.374999999993</v>
      </c>
      <c r="U18" s="44">
        <f t="shared" si="3"/>
        <v>58937.874999999993</v>
      </c>
      <c r="V18" s="44">
        <f t="shared" si="3"/>
        <v>56092.249999999993</v>
      </c>
    </row>
    <row r="19" spans="1:22">
      <c r="B19" s="48"/>
      <c r="C19" s="49"/>
      <c r="D19" s="49"/>
      <c r="E19" s="49"/>
      <c r="F19" s="49"/>
      <c r="G19" s="49"/>
      <c r="H19" s="49"/>
      <c r="I19" s="49"/>
      <c r="J19" s="49"/>
      <c r="K19" s="49"/>
      <c r="L19" s="49"/>
      <c r="M19" s="49"/>
      <c r="N19" s="49"/>
      <c r="O19" s="49"/>
      <c r="P19" s="49"/>
      <c r="Q19" s="49"/>
      <c r="R19" s="49"/>
      <c r="S19" s="49"/>
      <c r="T19" s="49"/>
      <c r="U19" s="49"/>
      <c r="V19" s="49"/>
    </row>
    <row r="20" spans="1:22" ht="17">
      <c r="A20" s="3" t="s">
        <v>38</v>
      </c>
      <c r="B20" s="41">
        <v>0</v>
      </c>
      <c r="C20" s="44">
        <f>B20+Inc!B6*Para!$E21*4</f>
        <v>42</v>
      </c>
      <c r="D20" s="44">
        <f>Inc!C6*Para!$E21*4</f>
        <v>63</v>
      </c>
      <c r="E20" s="44">
        <f>Inc!D6*Para!$E21*4</f>
        <v>84</v>
      </c>
      <c r="F20" s="44">
        <f>Inc!E6*Para!$E21*4</f>
        <v>105</v>
      </c>
      <c r="G20" s="44">
        <f>Inc!F6*Para!$E21*4</f>
        <v>126</v>
      </c>
      <c r="H20" s="44">
        <f>Inc!G6*Para!$E21*4</f>
        <v>147</v>
      </c>
      <c r="I20" s="44">
        <f>Inc!H6*Para!$E21*4</f>
        <v>168</v>
      </c>
      <c r="J20" s="44">
        <f>Inc!I6*Para!$E21*4</f>
        <v>189</v>
      </c>
      <c r="K20" s="44">
        <f>Inc!J6*Para!$E21*4</f>
        <v>210</v>
      </c>
      <c r="L20" s="44">
        <f>Inc!K6*Para!$E21*4</f>
        <v>231</v>
      </c>
      <c r="M20" s="44">
        <f>Inc!L6*Para!$E21*4</f>
        <v>252</v>
      </c>
      <c r="N20" s="44">
        <f>Inc!M6*Para!$E21*4</f>
        <v>273</v>
      </c>
      <c r="O20" s="44">
        <f>Inc!N6*Para!$E21*4</f>
        <v>294</v>
      </c>
      <c r="P20" s="44">
        <f>Inc!O6*Para!$E21*4</f>
        <v>315</v>
      </c>
      <c r="Q20" s="44">
        <f>Inc!P6*Para!$E21*4</f>
        <v>336</v>
      </c>
      <c r="R20" s="44">
        <f>Inc!Q6*Para!$E21*4</f>
        <v>357</v>
      </c>
      <c r="S20" s="44">
        <f>Inc!R6*Para!$E21*4</f>
        <v>378</v>
      </c>
      <c r="T20" s="44">
        <f>Inc!S6*Para!$E21*4</f>
        <v>399</v>
      </c>
      <c r="U20" s="44">
        <f>Inc!T6*Para!$E21*4</f>
        <v>420</v>
      </c>
      <c r="V20" s="44">
        <f>Inc!U6*Para!$E21*4</f>
        <v>441</v>
      </c>
    </row>
    <row r="21" spans="1:22" ht="17">
      <c r="A21" s="3" t="s">
        <v>39</v>
      </c>
      <c r="B21" s="41">
        <v>0</v>
      </c>
      <c r="C21" s="41">
        <v>0</v>
      </c>
      <c r="D21" s="41">
        <v>0</v>
      </c>
      <c r="E21" s="41">
        <v>0</v>
      </c>
      <c r="F21" s="41">
        <v>0</v>
      </c>
      <c r="G21" s="41">
        <v>0</v>
      </c>
      <c r="H21" s="41">
        <v>0</v>
      </c>
      <c r="I21" s="41">
        <v>0</v>
      </c>
      <c r="J21" s="41">
        <v>0</v>
      </c>
      <c r="K21" s="41">
        <v>0</v>
      </c>
      <c r="L21" s="41">
        <v>0</v>
      </c>
      <c r="M21" s="41">
        <v>0</v>
      </c>
      <c r="N21" s="41">
        <v>0</v>
      </c>
      <c r="O21" s="41">
        <v>0</v>
      </c>
      <c r="P21" s="41">
        <v>0</v>
      </c>
      <c r="Q21" s="41">
        <v>0</v>
      </c>
      <c r="R21" s="41">
        <v>0</v>
      </c>
      <c r="S21" s="41">
        <v>0</v>
      </c>
      <c r="T21" s="41">
        <v>0</v>
      </c>
      <c r="U21" s="41">
        <v>0</v>
      </c>
      <c r="V21" s="41">
        <v>0</v>
      </c>
    </row>
    <row r="22" spans="1:22">
      <c r="B22" s="48"/>
      <c r="C22" s="49"/>
      <c r="D22" s="49"/>
      <c r="E22" s="49"/>
      <c r="F22" s="49"/>
      <c r="G22" s="51"/>
      <c r="H22" s="49"/>
      <c r="I22" s="49"/>
      <c r="J22" s="49"/>
      <c r="K22" s="49"/>
      <c r="L22" s="49"/>
      <c r="M22" s="49"/>
      <c r="N22" s="49"/>
      <c r="O22" s="49"/>
      <c r="P22" s="49"/>
      <c r="Q22" s="49"/>
      <c r="R22" s="49"/>
      <c r="S22" s="49"/>
      <c r="T22" s="49"/>
      <c r="U22" s="49"/>
      <c r="V22" s="49"/>
    </row>
    <row r="23" spans="1:22" ht="17">
      <c r="A23" s="3" t="s">
        <v>40</v>
      </c>
      <c r="B23" s="44">
        <f t="shared" ref="B23:V23" si="4">SUM(B20:B21)</f>
        <v>0</v>
      </c>
      <c r="C23" s="44">
        <f t="shared" si="4"/>
        <v>42</v>
      </c>
      <c r="D23" s="44">
        <f t="shared" si="4"/>
        <v>63</v>
      </c>
      <c r="E23" s="44">
        <f t="shared" si="4"/>
        <v>84</v>
      </c>
      <c r="F23" s="44">
        <f t="shared" si="4"/>
        <v>105</v>
      </c>
      <c r="G23" s="44">
        <f t="shared" si="4"/>
        <v>126</v>
      </c>
      <c r="H23" s="44">
        <f t="shared" si="4"/>
        <v>147</v>
      </c>
      <c r="I23" s="44">
        <f t="shared" si="4"/>
        <v>168</v>
      </c>
      <c r="J23" s="44">
        <f t="shared" si="4"/>
        <v>189</v>
      </c>
      <c r="K23" s="44">
        <f t="shared" si="4"/>
        <v>210</v>
      </c>
      <c r="L23" s="44">
        <f t="shared" si="4"/>
        <v>231</v>
      </c>
      <c r="M23" s="44">
        <f t="shared" si="4"/>
        <v>252</v>
      </c>
      <c r="N23" s="44">
        <f t="shared" si="4"/>
        <v>273</v>
      </c>
      <c r="O23" s="44">
        <f t="shared" si="4"/>
        <v>294</v>
      </c>
      <c r="P23" s="44">
        <f t="shared" si="4"/>
        <v>315</v>
      </c>
      <c r="Q23" s="44">
        <f t="shared" si="4"/>
        <v>336</v>
      </c>
      <c r="R23" s="44">
        <f t="shared" si="4"/>
        <v>357</v>
      </c>
      <c r="S23" s="44">
        <f t="shared" si="4"/>
        <v>378</v>
      </c>
      <c r="T23" s="44">
        <f t="shared" si="4"/>
        <v>399</v>
      </c>
      <c r="U23" s="44">
        <f t="shared" si="4"/>
        <v>420</v>
      </c>
      <c r="V23" s="44">
        <f t="shared" si="4"/>
        <v>441</v>
      </c>
    </row>
    <row r="24" spans="1:22">
      <c r="B24" s="48"/>
      <c r="C24" s="49"/>
      <c r="D24" s="49"/>
      <c r="E24" s="49"/>
      <c r="F24" s="49"/>
      <c r="G24" s="49"/>
      <c r="H24" s="49"/>
      <c r="I24" s="49"/>
      <c r="J24" s="49"/>
      <c r="K24" s="49"/>
      <c r="L24" s="49"/>
      <c r="M24" s="49"/>
      <c r="N24" s="49"/>
      <c r="O24" s="49"/>
      <c r="P24" s="49"/>
      <c r="Q24" s="49"/>
      <c r="R24" s="49"/>
      <c r="S24" s="49"/>
      <c r="T24" s="49"/>
      <c r="U24" s="49"/>
      <c r="V24" s="49"/>
    </row>
    <row r="25" spans="1:22" ht="17">
      <c r="A25" s="3" t="s">
        <v>41</v>
      </c>
      <c r="B25" s="41">
        <v>0</v>
      </c>
      <c r="C25" s="44">
        <f>B25+SUMIF(Para!$G32,1,Para!$E32)</f>
        <v>0</v>
      </c>
      <c r="D25" s="44">
        <f>C25+SUMIF(Para!$G32,2,Para!$E32)</f>
        <v>0</v>
      </c>
      <c r="E25" s="44">
        <f>D25+SUMIF(Para!$G32,3,Para!$E32)</f>
        <v>0</v>
      </c>
      <c r="F25" s="44">
        <f>E25+SUMIF(Para!$G32,4,Para!$E32)</f>
        <v>0</v>
      </c>
      <c r="G25" s="44">
        <f>F25+SUMIF(Para!$G32,5,Para!$E32)</f>
        <v>0</v>
      </c>
      <c r="H25" s="44">
        <f>G25+SUMIF(Para!$G32,6,Para!$E32)</f>
        <v>100000</v>
      </c>
      <c r="I25" s="44">
        <f>H25+SUMIF(Para!$G32,7,Para!$E32)</f>
        <v>100000</v>
      </c>
      <c r="J25" s="44">
        <f>I25+SUMIF(Para!$G32,8,Para!$E32)</f>
        <v>100000</v>
      </c>
      <c r="K25" s="44">
        <f>J25+SUMIF(Para!$G32,9,Para!$E32)</f>
        <v>100000</v>
      </c>
      <c r="L25" s="44">
        <f>K25+SUMIF(Para!$G32,10,Para!$E32)</f>
        <v>100000</v>
      </c>
      <c r="M25" s="44">
        <f>L25+SUMIF(Para!$G32,11,Para!$E32)</f>
        <v>100000</v>
      </c>
      <c r="N25" s="44">
        <f>M25+SUMIF(Para!$G32,12,Para!$E32)</f>
        <v>100000</v>
      </c>
      <c r="O25" s="44">
        <f>N25+SUMIF(Para!$G32,13,Para!$E32)</f>
        <v>100000</v>
      </c>
      <c r="P25" s="44">
        <f>O25+SUMIF(Para!$G32,14,Para!$E32)</f>
        <v>100000</v>
      </c>
      <c r="Q25" s="44">
        <f>P25+SUMIF(Para!$G32,15,Para!$E32)</f>
        <v>100000</v>
      </c>
      <c r="R25" s="44">
        <f>Q25+SUMIF(Para!$G32,16,Para!$E32)</f>
        <v>100000</v>
      </c>
      <c r="S25" s="44">
        <f>R25+SUMIF(Para!$G32,17,Para!$E32)</f>
        <v>100000</v>
      </c>
      <c r="T25" s="44">
        <f>S25+SUMIF(Para!$G32,18,Para!$E32)</f>
        <v>100000</v>
      </c>
      <c r="U25" s="44">
        <f>T25+SUMIF(Para!$G32,19,Para!$E32)</f>
        <v>100000</v>
      </c>
      <c r="V25" s="44">
        <f>U25+SUMIF(Para!$G32,20,Para!$E32)</f>
        <v>100000</v>
      </c>
    </row>
    <row r="26" spans="1:22" ht="17">
      <c r="A26" s="3" t="s">
        <v>42</v>
      </c>
      <c r="B26" s="41">
        <v>0</v>
      </c>
      <c r="C26" s="41">
        <v>0</v>
      </c>
      <c r="D26" s="44">
        <f>C26</f>
        <v>0</v>
      </c>
      <c r="E26" s="44">
        <f t="shared" ref="E26:V26" si="5">D26</f>
        <v>0</v>
      </c>
      <c r="F26" s="44">
        <f t="shared" si="5"/>
        <v>0</v>
      </c>
      <c r="G26" s="44">
        <f t="shared" si="5"/>
        <v>0</v>
      </c>
      <c r="H26" s="44">
        <f t="shared" si="5"/>
        <v>0</v>
      </c>
      <c r="I26" s="44">
        <f t="shared" si="5"/>
        <v>0</v>
      </c>
      <c r="J26" s="44">
        <f t="shared" si="5"/>
        <v>0</v>
      </c>
      <c r="K26" s="44">
        <f t="shared" si="5"/>
        <v>0</v>
      </c>
      <c r="L26" s="44">
        <f t="shared" si="5"/>
        <v>0</v>
      </c>
      <c r="M26" s="44">
        <f t="shared" si="5"/>
        <v>0</v>
      </c>
      <c r="N26" s="44">
        <f t="shared" si="5"/>
        <v>0</v>
      </c>
      <c r="O26" s="44">
        <f t="shared" si="5"/>
        <v>0</v>
      </c>
      <c r="P26" s="44">
        <f t="shared" si="5"/>
        <v>0</v>
      </c>
      <c r="Q26" s="44">
        <f t="shared" si="5"/>
        <v>0</v>
      </c>
      <c r="R26" s="44">
        <f t="shared" si="5"/>
        <v>0</v>
      </c>
      <c r="S26" s="44">
        <f t="shared" si="5"/>
        <v>0</v>
      </c>
      <c r="T26" s="44">
        <f t="shared" si="5"/>
        <v>0</v>
      </c>
      <c r="U26" s="44">
        <f t="shared" si="5"/>
        <v>0</v>
      </c>
      <c r="V26" s="44">
        <f t="shared" si="5"/>
        <v>0</v>
      </c>
    </row>
    <row r="27" spans="1:22">
      <c r="B27" s="48"/>
      <c r="C27" s="49"/>
      <c r="D27" s="49"/>
      <c r="E27" s="49"/>
      <c r="F27" s="49"/>
      <c r="G27" s="49"/>
      <c r="H27" s="49"/>
      <c r="I27" s="49"/>
      <c r="J27" s="49"/>
      <c r="K27" s="49"/>
      <c r="L27" s="49"/>
      <c r="M27" s="49"/>
      <c r="N27" s="49"/>
      <c r="O27" s="49"/>
      <c r="P27" s="49"/>
      <c r="Q27" s="49"/>
      <c r="R27" s="49"/>
      <c r="S27" s="49"/>
      <c r="T27" s="49"/>
      <c r="U27" s="49"/>
      <c r="V27" s="49"/>
    </row>
    <row r="28" spans="1:22" ht="17">
      <c r="A28" s="3" t="s">
        <v>43</v>
      </c>
      <c r="B28" s="44">
        <f>SUM(B23:B26)</f>
        <v>0</v>
      </c>
      <c r="C28" s="44">
        <f t="shared" ref="C28:V28" si="6">SUM(C23:C26)</f>
        <v>42</v>
      </c>
      <c r="D28" s="44">
        <f t="shared" si="6"/>
        <v>63</v>
      </c>
      <c r="E28" s="44">
        <f t="shared" si="6"/>
        <v>84</v>
      </c>
      <c r="F28" s="44">
        <f t="shared" si="6"/>
        <v>105</v>
      </c>
      <c r="G28" s="44">
        <f t="shared" si="6"/>
        <v>126</v>
      </c>
      <c r="H28" s="44">
        <f t="shared" si="6"/>
        <v>100147</v>
      </c>
      <c r="I28" s="44">
        <f t="shared" si="6"/>
        <v>100168</v>
      </c>
      <c r="J28" s="44">
        <f t="shared" si="6"/>
        <v>100189</v>
      </c>
      <c r="K28" s="44">
        <f t="shared" si="6"/>
        <v>100210</v>
      </c>
      <c r="L28" s="44">
        <f t="shared" si="6"/>
        <v>100231</v>
      </c>
      <c r="M28" s="44">
        <f t="shared" si="6"/>
        <v>100252</v>
      </c>
      <c r="N28" s="44">
        <f t="shared" si="6"/>
        <v>100273</v>
      </c>
      <c r="O28" s="44">
        <f t="shared" si="6"/>
        <v>100294</v>
      </c>
      <c r="P28" s="44">
        <f t="shared" si="6"/>
        <v>100315</v>
      </c>
      <c r="Q28" s="44">
        <f t="shared" si="6"/>
        <v>100336</v>
      </c>
      <c r="R28" s="44">
        <f t="shared" si="6"/>
        <v>100357</v>
      </c>
      <c r="S28" s="44">
        <f t="shared" si="6"/>
        <v>100378</v>
      </c>
      <c r="T28" s="44">
        <f t="shared" si="6"/>
        <v>100399</v>
      </c>
      <c r="U28" s="44">
        <f t="shared" si="6"/>
        <v>100420</v>
      </c>
      <c r="V28" s="44">
        <f t="shared" si="6"/>
        <v>100441</v>
      </c>
    </row>
    <row r="29" spans="1:22">
      <c r="B29" s="48"/>
      <c r="C29" s="49"/>
      <c r="D29" s="49"/>
      <c r="E29" s="49"/>
      <c r="F29" s="49"/>
      <c r="G29" s="49"/>
      <c r="H29" s="49"/>
      <c r="I29" s="49"/>
      <c r="J29" s="49"/>
      <c r="K29" s="49"/>
      <c r="L29" s="49"/>
      <c r="M29" s="49"/>
      <c r="N29" s="49"/>
      <c r="O29" s="49"/>
      <c r="P29" s="49"/>
      <c r="Q29" s="49"/>
      <c r="R29" s="49"/>
      <c r="S29" s="49"/>
      <c r="T29" s="49"/>
      <c r="U29" s="49"/>
      <c r="V29" s="49"/>
    </row>
    <row r="30" spans="1:22" ht="17">
      <c r="A30" s="3" t="s">
        <v>44</v>
      </c>
      <c r="B30" s="41">
        <v>0</v>
      </c>
      <c r="C30" s="41">
        <v>0</v>
      </c>
      <c r="D30" s="44">
        <f>C30</f>
        <v>0</v>
      </c>
      <c r="E30" s="44">
        <f t="shared" ref="E30:V30" si="7">D30</f>
        <v>0</v>
      </c>
      <c r="F30" s="44">
        <f t="shared" si="7"/>
        <v>0</v>
      </c>
      <c r="G30" s="44">
        <f t="shared" si="7"/>
        <v>0</v>
      </c>
      <c r="H30" s="44">
        <f t="shared" si="7"/>
        <v>0</v>
      </c>
      <c r="I30" s="44">
        <f t="shared" si="7"/>
        <v>0</v>
      </c>
      <c r="J30" s="44">
        <f t="shared" si="7"/>
        <v>0</v>
      </c>
      <c r="K30" s="44">
        <f t="shared" si="7"/>
        <v>0</v>
      </c>
      <c r="L30" s="44">
        <f t="shared" si="7"/>
        <v>0</v>
      </c>
      <c r="M30" s="44">
        <f t="shared" si="7"/>
        <v>0</v>
      </c>
      <c r="N30" s="44">
        <f t="shared" si="7"/>
        <v>0</v>
      </c>
      <c r="O30" s="44">
        <f t="shared" si="7"/>
        <v>0</v>
      </c>
      <c r="P30" s="44">
        <f t="shared" si="7"/>
        <v>0</v>
      </c>
      <c r="Q30" s="44">
        <f t="shared" si="7"/>
        <v>0</v>
      </c>
      <c r="R30" s="44">
        <f t="shared" si="7"/>
        <v>0</v>
      </c>
      <c r="S30" s="44">
        <f t="shared" si="7"/>
        <v>0</v>
      </c>
      <c r="T30" s="44">
        <f t="shared" si="7"/>
        <v>0</v>
      </c>
      <c r="U30" s="44">
        <f t="shared" si="7"/>
        <v>0</v>
      </c>
      <c r="V30" s="44">
        <f t="shared" si="7"/>
        <v>0</v>
      </c>
    </row>
    <row r="31" spans="1:22" ht="17">
      <c r="A31" s="3" t="s">
        <v>47</v>
      </c>
      <c r="B31" s="41">
        <v>0</v>
      </c>
      <c r="C31" s="44">
        <f>B31+Inc!B28</f>
        <v>131.75</v>
      </c>
      <c r="D31" s="44">
        <f>Inc!C28+C31</f>
        <v>329.375</v>
      </c>
      <c r="E31" s="44">
        <f>Inc!D28+D31</f>
        <v>592.875</v>
      </c>
      <c r="F31" s="44">
        <f>Inc!E28+E31</f>
        <v>922.25</v>
      </c>
      <c r="G31" s="44">
        <f>Inc!F28+F31</f>
        <v>1317.5</v>
      </c>
      <c r="H31" s="44">
        <f>Inc!G28+G31</f>
        <v>-346.375</v>
      </c>
      <c r="I31" s="44">
        <f>Inc!H28+H31</f>
        <v>-1944.375</v>
      </c>
      <c r="J31" s="44">
        <f>Inc!I28+I31</f>
        <v>-5601.5</v>
      </c>
      <c r="K31" s="44">
        <f>Inc!J28+J31</f>
        <v>-9192.75</v>
      </c>
      <c r="L31" s="44">
        <f>Inc!K28+K31</f>
        <v>-12718.125</v>
      </c>
      <c r="M31" s="44">
        <f>Inc!L28+L31</f>
        <v>-16177.625</v>
      </c>
      <c r="N31" s="44">
        <f>Inc!M28+M31</f>
        <v>-19571.25</v>
      </c>
      <c r="O31" s="44">
        <f>Inc!N28+N31</f>
        <v>-22899</v>
      </c>
      <c r="P31" s="44">
        <f>Inc!O28+O31</f>
        <v>-26160.875</v>
      </c>
      <c r="Q31" s="44">
        <f>Inc!P28+P31</f>
        <v>-29356.875</v>
      </c>
      <c r="R31" s="44">
        <f>Inc!Q28+Q31</f>
        <v>-32487</v>
      </c>
      <c r="S31" s="44">
        <f>Inc!R28+R31</f>
        <v>-35551.25</v>
      </c>
      <c r="T31" s="44">
        <f>Inc!S28+S31</f>
        <v>-38549.625</v>
      </c>
      <c r="U31" s="44">
        <f>Inc!T28+T31</f>
        <v>-41482.125</v>
      </c>
      <c r="V31" s="44">
        <f>Inc!U28+U31</f>
        <v>-44348.75</v>
      </c>
    </row>
    <row r="32" spans="1:22">
      <c r="B32" s="48"/>
      <c r="C32" s="49"/>
      <c r="D32" s="49"/>
      <c r="E32" s="49"/>
      <c r="F32" s="49"/>
      <c r="G32" s="49"/>
      <c r="H32" s="49"/>
      <c r="I32" s="49"/>
      <c r="J32" s="49"/>
      <c r="K32" s="49"/>
      <c r="L32" s="49"/>
      <c r="M32" s="49"/>
      <c r="N32" s="49"/>
      <c r="O32" s="49"/>
      <c r="P32" s="49"/>
      <c r="Q32" s="49"/>
      <c r="R32" s="49"/>
      <c r="S32" s="49"/>
      <c r="T32" s="49"/>
      <c r="U32" s="49"/>
      <c r="V32" s="49"/>
    </row>
    <row r="33" spans="1:22" ht="17">
      <c r="A33" s="3" t="s">
        <v>45</v>
      </c>
      <c r="B33" s="44">
        <f>SUM(B30:B31)</f>
        <v>0</v>
      </c>
      <c r="C33" s="44">
        <f>SUM(C30:C31)</f>
        <v>131.75</v>
      </c>
      <c r="D33" s="44">
        <f>SUM(D30:D31)</f>
        <v>329.375</v>
      </c>
      <c r="E33" s="44">
        <f>SUM(E30:E31)</f>
        <v>592.875</v>
      </c>
      <c r="F33" s="44">
        <f t="shared" ref="F33:V33" si="8">SUM(F30:F31)</f>
        <v>922.25</v>
      </c>
      <c r="G33" s="44">
        <f t="shared" si="8"/>
        <v>1317.5</v>
      </c>
      <c r="H33" s="44">
        <f t="shared" si="8"/>
        <v>-346.375</v>
      </c>
      <c r="I33" s="44">
        <f t="shared" si="8"/>
        <v>-1944.375</v>
      </c>
      <c r="J33" s="44">
        <f t="shared" si="8"/>
        <v>-5601.5</v>
      </c>
      <c r="K33" s="44">
        <f t="shared" si="8"/>
        <v>-9192.75</v>
      </c>
      <c r="L33" s="44">
        <f t="shared" si="8"/>
        <v>-12718.125</v>
      </c>
      <c r="M33" s="44">
        <f t="shared" si="8"/>
        <v>-16177.625</v>
      </c>
      <c r="N33" s="44">
        <f t="shared" si="8"/>
        <v>-19571.25</v>
      </c>
      <c r="O33" s="44">
        <f t="shared" si="8"/>
        <v>-22899</v>
      </c>
      <c r="P33" s="44">
        <f t="shared" si="8"/>
        <v>-26160.875</v>
      </c>
      <c r="Q33" s="44">
        <f t="shared" si="8"/>
        <v>-29356.875</v>
      </c>
      <c r="R33" s="44">
        <f t="shared" si="8"/>
        <v>-32487</v>
      </c>
      <c r="S33" s="44">
        <f t="shared" si="8"/>
        <v>-35551.25</v>
      </c>
      <c r="T33" s="44">
        <f t="shared" si="8"/>
        <v>-38549.625</v>
      </c>
      <c r="U33" s="44">
        <f t="shared" si="8"/>
        <v>-41482.125</v>
      </c>
      <c r="V33" s="44">
        <f t="shared" si="8"/>
        <v>-44348.75</v>
      </c>
    </row>
    <row r="34" spans="1:22">
      <c r="B34" s="48"/>
      <c r="C34" s="49"/>
      <c r="D34" s="49"/>
      <c r="E34" s="49"/>
      <c r="F34" s="49"/>
      <c r="G34" s="49"/>
      <c r="H34" s="49"/>
      <c r="I34" s="49"/>
      <c r="J34" s="49"/>
      <c r="K34" s="49"/>
      <c r="L34" s="49"/>
      <c r="M34" s="49"/>
      <c r="N34" s="49"/>
      <c r="O34" s="49"/>
      <c r="P34" s="49"/>
      <c r="Q34" s="49"/>
      <c r="R34" s="49"/>
      <c r="S34" s="49"/>
      <c r="T34" s="49"/>
      <c r="U34" s="49"/>
      <c r="V34" s="49"/>
    </row>
    <row r="35" spans="1:22" ht="17">
      <c r="A35" s="3" t="s">
        <v>46</v>
      </c>
      <c r="B35" s="44">
        <f>B28+B33</f>
        <v>0</v>
      </c>
      <c r="C35" s="44">
        <f>C28+C33</f>
        <v>173.75</v>
      </c>
      <c r="D35" s="44">
        <f>D28+D33</f>
        <v>392.375</v>
      </c>
      <c r="E35" s="44">
        <f>E28+E33</f>
        <v>676.875</v>
      </c>
      <c r="F35" s="44">
        <f t="shared" ref="F35:V35" si="9">F28+F33</f>
        <v>1027.25</v>
      </c>
      <c r="G35" s="44">
        <f t="shared" si="9"/>
        <v>1443.5</v>
      </c>
      <c r="H35" s="44">
        <f t="shared" si="9"/>
        <v>99800.625</v>
      </c>
      <c r="I35" s="44">
        <f t="shared" si="9"/>
        <v>98223.625</v>
      </c>
      <c r="J35" s="44">
        <f t="shared" si="9"/>
        <v>94587.5</v>
      </c>
      <c r="K35" s="44">
        <f t="shared" si="9"/>
        <v>91017.25</v>
      </c>
      <c r="L35" s="44">
        <f t="shared" si="9"/>
        <v>87512.875</v>
      </c>
      <c r="M35" s="44">
        <f t="shared" si="9"/>
        <v>84074.375</v>
      </c>
      <c r="N35" s="44">
        <f t="shared" si="9"/>
        <v>80701.75</v>
      </c>
      <c r="O35" s="44">
        <f t="shared" si="9"/>
        <v>77395</v>
      </c>
      <c r="P35" s="44">
        <f t="shared" si="9"/>
        <v>74154.125</v>
      </c>
      <c r="Q35" s="44">
        <f t="shared" si="9"/>
        <v>70979.125</v>
      </c>
      <c r="R35" s="44">
        <f t="shared" si="9"/>
        <v>67870</v>
      </c>
      <c r="S35" s="44">
        <f t="shared" si="9"/>
        <v>64826.75</v>
      </c>
      <c r="T35" s="44">
        <f t="shared" si="9"/>
        <v>61849.375</v>
      </c>
      <c r="U35" s="44">
        <f t="shared" si="9"/>
        <v>58937.875</v>
      </c>
      <c r="V35" s="44">
        <f t="shared" si="9"/>
        <v>56092.25</v>
      </c>
    </row>
    <row r="37" spans="1:22" ht="17">
      <c r="B37" s="40" t="str">
        <f>B2</f>
        <v>Prior</v>
      </c>
      <c r="C37" s="40">
        <f>Vol!B2</f>
        <v>2018</v>
      </c>
      <c r="D37" s="40">
        <f>C37+1</f>
        <v>2019</v>
      </c>
      <c r="E37" s="40">
        <f>D37+1</f>
        <v>2020</v>
      </c>
      <c r="F37" s="40">
        <f>E37+1</f>
        <v>2021</v>
      </c>
      <c r="G37" s="40">
        <f>F37+1</f>
        <v>2022</v>
      </c>
    </row>
    <row r="38" spans="1:22" ht="17">
      <c r="A38" s="3" t="str">
        <f t="shared" ref="A38:B41" si="10">A5</f>
        <v>Cash</v>
      </c>
      <c r="B38" s="44">
        <f t="shared" si="10"/>
        <v>0</v>
      </c>
      <c r="C38" s="44">
        <f>F5</f>
        <v>320.74999999999994</v>
      </c>
      <c r="D38" s="44">
        <f>J5</f>
        <v>-5384.2000000000116</v>
      </c>
      <c r="E38" s="44">
        <f>N5</f>
        <v>-9835.1500000000106</v>
      </c>
      <c r="F38" s="44">
        <f>R5</f>
        <v>-13232.100000000009</v>
      </c>
      <c r="G38" s="44">
        <f>V5</f>
        <v>-15575.050000000007</v>
      </c>
    </row>
    <row r="39" spans="1:22" ht="17">
      <c r="A39" s="3" t="str">
        <f t="shared" si="10"/>
        <v>Accounts Receivable</v>
      </c>
      <c r="B39" s="44">
        <f t="shared" si="10"/>
        <v>0</v>
      </c>
      <c r="C39" s="44">
        <f>F6</f>
        <v>472.50000000000006</v>
      </c>
      <c r="D39" s="44">
        <f>J6</f>
        <v>850.5</v>
      </c>
      <c r="E39" s="44">
        <f>N6</f>
        <v>1228.5</v>
      </c>
      <c r="F39" s="44">
        <f>R6</f>
        <v>1606.5</v>
      </c>
      <c r="G39" s="44">
        <f>V6</f>
        <v>1984.5000000000002</v>
      </c>
    </row>
    <row r="40" spans="1:22" ht="17">
      <c r="A40" s="3" t="str">
        <f t="shared" si="10"/>
        <v>Inventories</v>
      </c>
      <c r="B40" s="44">
        <f t="shared" si="10"/>
        <v>0</v>
      </c>
      <c r="C40" s="44">
        <f>F7</f>
        <v>234</v>
      </c>
      <c r="D40" s="44">
        <f>J7</f>
        <v>1621.2</v>
      </c>
      <c r="E40" s="44">
        <f>N7</f>
        <v>1808.3999999999999</v>
      </c>
      <c r="F40" s="44">
        <f>R7</f>
        <v>1995.6</v>
      </c>
      <c r="G40" s="44">
        <f>V7</f>
        <v>2182.7999999999997</v>
      </c>
    </row>
    <row r="41" spans="1:22" ht="17">
      <c r="A41" s="3" t="str">
        <f t="shared" si="10"/>
        <v>Other Current</v>
      </c>
      <c r="B41" s="44">
        <f t="shared" si="10"/>
        <v>0</v>
      </c>
      <c r="C41" s="44">
        <f>F8</f>
        <v>0</v>
      </c>
      <c r="D41" s="44">
        <f>J8</f>
        <v>0</v>
      </c>
      <c r="E41" s="44">
        <f>N8</f>
        <v>0</v>
      </c>
      <c r="F41" s="44">
        <f>R8</f>
        <v>0</v>
      </c>
      <c r="G41" s="44">
        <f>V8</f>
        <v>0</v>
      </c>
    </row>
    <row r="42" spans="1:22">
      <c r="A42" s="49"/>
      <c r="B42" s="49"/>
      <c r="C42" s="49"/>
      <c r="D42" s="49"/>
      <c r="E42" s="49"/>
      <c r="F42" s="49"/>
      <c r="G42" s="49"/>
    </row>
    <row r="43" spans="1:22" ht="17">
      <c r="A43" s="3" t="str">
        <f>A10</f>
        <v>Total Current</v>
      </c>
      <c r="B43" s="44">
        <f t="shared" ref="B43:G43" si="11">SUM(B38:B41)</f>
        <v>0</v>
      </c>
      <c r="C43" s="44">
        <f t="shared" si="11"/>
        <v>1027.25</v>
      </c>
      <c r="D43" s="44">
        <f t="shared" si="11"/>
        <v>-2912.5000000000118</v>
      </c>
      <c r="E43" s="44">
        <f t="shared" si="11"/>
        <v>-6798.2500000000109</v>
      </c>
      <c r="F43" s="44">
        <f t="shared" si="11"/>
        <v>-9630.0000000000091</v>
      </c>
      <c r="G43" s="44">
        <f t="shared" si="11"/>
        <v>-11407.750000000007</v>
      </c>
    </row>
    <row r="44" spans="1:22">
      <c r="A44" s="49"/>
      <c r="B44" s="49"/>
      <c r="C44" s="49"/>
      <c r="D44" s="49"/>
      <c r="E44" s="49"/>
      <c r="F44" s="49"/>
      <c r="G44" s="49"/>
    </row>
    <row r="45" spans="1:22" ht="17">
      <c r="A45" s="3" t="str">
        <f>A12</f>
        <v>Fixed Assets</v>
      </c>
      <c r="B45" s="44">
        <f>B12</f>
        <v>0</v>
      </c>
      <c r="C45" s="44">
        <f>F12</f>
        <v>0</v>
      </c>
      <c r="D45" s="44">
        <f>J12</f>
        <v>100000</v>
      </c>
      <c r="E45" s="44">
        <f>N12</f>
        <v>100000</v>
      </c>
      <c r="F45" s="44">
        <f>R12</f>
        <v>100000</v>
      </c>
      <c r="G45" s="44">
        <f>V12</f>
        <v>100000</v>
      </c>
    </row>
    <row r="46" spans="1:22" ht="17">
      <c r="A46" s="3" t="str">
        <f>A15</f>
        <v>Less: Accum Deprec</v>
      </c>
      <c r="B46" s="44">
        <f>B15</f>
        <v>0</v>
      </c>
      <c r="C46" s="44">
        <f>F15</f>
        <v>0</v>
      </c>
      <c r="D46" s="44">
        <f>J15</f>
        <v>2500</v>
      </c>
      <c r="E46" s="44">
        <f>N15</f>
        <v>12500</v>
      </c>
      <c r="F46" s="44">
        <f>R15</f>
        <v>22500</v>
      </c>
      <c r="G46" s="44">
        <f>V15</f>
        <v>32500</v>
      </c>
    </row>
    <row r="47" spans="1:22" ht="17">
      <c r="A47" s="3" t="str">
        <f>A16</f>
        <v>Net Fixed Assets</v>
      </c>
      <c r="B47" s="44">
        <f t="shared" ref="B47:G47" si="12">B45-B46</f>
        <v>0</v>
      </c>
      <c r="C47" s="44">
        <f t="shared" si="12"/>
        <v>0</v>
      </c>
      <c r="D47" s="44">
        <f t="shared" si="12"/>
        <v>97500</v>
      </c>
      <c r="E47" s="44">
        <f t="shared" si="12"/>
        <v>87500</v>
      </c>
      <c r="F47" s="44">
        <f t="shared" si="12"/>
        <v>77500</v>
      </c>
      <c r="G47" s="44">
        <f t="shared" si="12"/>
        <v>67500</v>
      </c>
    </row>
    <row r="48" spans="1:22">
      <c r="A48" s="49"/>
      <c r="B48" s="49"/>
      <c r="C48" s="49"/>
      <c r="D48" s="49"/>
      <c r="E48" s="49"/>
      <c r="F48" s="49"/>
      <c r="G48" s="49"/>
    </row>
    <row r="49" spans="1:7" ht="17">
      <c r="A49" s="3" t="str">
        <f>A18</f>
        <v>Total Assets</v>
      </c>
      <c r="B49" s="44">
        <f t="shared" ref="B49:G49" si="13">B43+B47</f>
        <v>0</v>
      </c>
      <c r="C49" s="44">
        <f t="shared" si="13"/>
        <v>1027.25</v>
      </c>
      <c r="D49" s="44">
        <f t="shared" si="13"/>
        <v>94587.499999999985</v>
      </c>
      <c r="E49" s="44">
        <f t="shared" si="13"/>
        <v>80701.749999999985</v>
      </c>
      <c r="F49" s="44">
        <f t="shared" si="13"/>
        <v>67869.999999999985</v>
      </c>
      <c r="G49" s="44">
        <f t="shared" si="13"/>
        <v>56092.249999999993</v>
      </c>
    </row>
    <row r="50" spans="1:7">
      <c r="A50" s="49"/>
      <c r="B50" s="49"/>
      <c r="C50" s="49"/>
      <c r="D50" s="49"/>
      <c r="E50" s="49"/>
      <c r="F50" s="49"/>
      <c r="G50" s="49"/>
    </row>
    <row r="51" spans="1:7" ht="17">
      <c r="A51" s="3" t="str">
        <f>A20</f>
        <v>Accounts Payable</v>
      </c>
      <c r="B51" s="44">
        <f>B20</f>
        <v>0</v>
      </c>
      <c r="C51" s="44">
        <f>F20</f>
        <v>105</v>
      </c>
      <c r="D51" s="44">
        <f>J20</f>
        <v>189</v>
      </c>
      <c r="E51" s="44">
        <f>N20</f>
        <v>273</v>
      </c>
      <c r="F51" s="44">
        <f>R20</f>
        <v>357</v>
      </c>
      <c r="G51" s="44">
        <f>V20</f>
        <v>441</v>
      </c>
    </row>
    <row r="52" spans="1:7" ht="17">
      <c r="A52" s="3" t="str">
        <f>A21</f>
        <v>Other Current Lia</v>
      </c>
      <c r="B52" s="44">
        <f>B21</f>
        <v>0</v>
      </c>
      <c r="C52" s="44">
        <f>F21</f>
        <v>0</v>
      </c>
      <c r="D52" s="44">
        <f>J21</f>
        <v>0</v>
      </c>
      <c r="E52" s="44">
        <f>N21</f>
        <v>0</v>
      </c>
      <c r="F52" s="44">
        <f>R21</f>
        <v>0</v>
      </c>
      <c r="G52" s="44">
        <f>V21</f>
        <v>0</v>
      </c>
    </row>
    <row r="53" spans="1:7">
      <c r="A53" s="49"/>
      <c r="B53" s="49"/>
      <c r="C53" s="49"/>
      <c r="D53" s="49"/>
      <c r="E53" s="49"/>
      <c r="F53" s="49"/>
      <c r="G53" s="49"/>
    </row>
    <row r="54" spans="1:7" ht="17">
      <c r="A54" s="3" t="str">
        <f>A23</f>
        <v>Total Current Lia</v>
      </c>
      <c r="B54" s="44">
        <f t="shared" ref="B54:G54" si="14">SUM(B51:B52)</f>
        <v>0</v>
      </c>
      <c r="C54" s="44">
        <f t="shared" si="14"/>
        <v>105</v>
      </c>
      <c r="D54" s="44">
        <f t="shared" si="14"/>
        <v>189</v>
      </c>
      <c r="E54" s="44">
        <f t="shared" si="14"/>
        <v>273</v>
      </c>
      <c r="F54" s="44">
        <f t="shared" si="14"/>
        <v>357</v>
      </c>
      <c r="G54" s="44">
        <f t="shared" si="14"/>
        <v>441</v>
      </c>
    </row>
    <row r="55" spans="1:7">
      <c r="A55" s="49"/>
      <c r="B55" s="49"/>
      <c r="C55" s="49"/>
      <c r="D55" s="49"/>
      <c r="E55" s="49"/>
      <c r="F55" s="49"/>
      <c r="G55" s="49"/>
    </row>
    <row r="56" spans="1:7" ht="17">
      <c r="A56" s="3" t="str">
        <f>A25</f>
        <v>Notes Payable</v>
      </c>
      <c r="B56" s="44">
        <f>B25</f>
        <v>0</v>
      </c>
      <c r="C56" s="44">
        <f>F25</f>
        <v>0</v>
      </c>
      <c r="D56" s="44">
        <f>J25</f>
        <v>100000</v>
      </c>
      <c r="E56" s="44">
        <f>N25</f>
        <v>100000</v>
      </c>
      <c r="F56" s="44">
        <f>R25</f>
        <v>100000</v>
      </c>
      <c r="G56" s="44">
        <f>V25</f>
        <v>100000</v>
      </c>
    </row>
    <row r="57" spans="1:7" ht="17">
      <c r="A57" s="3" t="str">
        <f>A26</f>
        <v>Other Long Term</v>
      </c>
      <c r="B57" s="44">
        <f>B26</f>
        <v>0</v>
      </c>
      <c r="C57" s="44">
        <f>F26</f>
        <v>0</v>
      </c>
      <c r="D57" s="44">
        <f>J26</f>
        <v>0</v>
      </c>
      <c r="E57" s="44">
        <f>N26</f>
        <v>0</v>
      </c>
      <c r="F57" s="44">
        <f>R26</f>
        <v>0</v>
      </c>
      <c r="G57" s="44">
        <f>V26</f>
        <v>0</v>
      </c>
    </row>
    <row r="58" spans="1:7">
      <c r="A58" s="49"/>
      <c r="B58" s="49"/>
      <c r="C58" s="49"/>
      <c r="D58" s="49"/>
      <c r="E58" s="49"/>
      <c r="F58" s="49"/>
      <c r="G58" s="49"/>
    </row>
    <row r="59" spans="1:7" ht="17">
      <c r="A59" s="3" t="str">
        <f>A28</f>
        <v>Total Liabilities</v>
      </c>
      <c r="B59" s="44">
        <f t="shared" ref="B59" si="15">SUM(B56:B57)</f>
        <v>0</v>
      </c>
      <c r="C59" s="44">
        <f>SUM(C54:C57)</f>
        <v>105</v>
      </c>
      <c r="D59" s="44">
        <f t="shared" ref="D59:G59" si="16">SUM(D54:D57)</f>
        <v>100189</v>
      </c>
      <c r="E59" s="44">
        <f t="shared" si="16"/>
        <v>100273</v>
      </c>
      <c r="F59" s="44">
        <f t="shared" si="16"/>
        <v>100357</v>
      </c>
      <c r="G59" s="44">
        <f t="shared" si="16"/>
        <v>100441</v>
      </c>
    </row>
    <row r="60" spans="1:7">
      <c r="A60" s="49"/>
      <c r="B60" s="49"/>
      <c r="C60" s="49"/>
      <c r="D60" s="49"/>
      <c r="E60" s="49"/>
      <c r="F60" s="49"/>
      <c r="G60" s="49"/>
    </row>
    <row r="61" spans="1:7" ht="17">
      <c r="A61" s="3" t="str">
        <f>A30</f>
        <v>Paid In Capital</v>
      </c>
      <c r="B61" s="44">
        <f>B30</f>
        <v>0</v>
      </c>
      <c r="C61" s="44">
        <f>F30</f>
        <v>0</v>
      </c>
      <c r="D61" s="44">
        <f>J30</f>
        <v>0</v>
      </c>
      <c r="E61" s="44">
        <f>N30</f>
        <v>0</v>
      </c>
      <c r="F61" s="44">
        <f>R30</f>
        <v>0</v>
      </c>
      <c r="G61" s="44">
        <f>V30</f>
        <v>0</v>
      </c>
    </row>
    <row r="62" spans="1:7" ht="17">
      <c r="A62" s="3" t="str">
        <f>A31</f>
        <v>Retained Earnings</v>
      </c>
      <c r="B62" s="44">
        <f>B31</f>
        <v>0</v>
      </c>
      <c r="C62" s="44">
        <f>F31</f>
        <v>922.25</v>
      </c>
      <c r="D62" s="44">
        <f>J31</f>
        <v>-5601.5</v>
      </c>
      <c r="E62" s="44">
        <f>N31</f>
        <v>-19571.25</v>
      </c>
      <c r="F62" s="44">
        <f>R31</f>
        <v>-32487</v>
      </c>
      <c r="G62" s="44">
        <f>V31</f>
        <v>-44348.75</v>
      </c>
    </row>
    <row r="63" spans="1:7">
      <c r="A63" s="49"/>
      <c r="B63" s="49"/>
      <c r="C63" s="49"/>
      <c r="D63" s="49"/>
      <c r="E63" s="49"/>
      <c r="F63" s="49"/>
      <c r="G63" s="49"/>
    </row>
    <row r="64" spans="1:7" ht="17">
      <c r="A64" s="3" t="str">
        <f>A33</f>
        <v>Total Equity</v>
      </c>
      <c r="B64" s="44">
        <f t="shared" ref="B64:G64" si="17">SUM(B61:B62)</f>
        <v>0</v>
      </c>
      <c r="C64" s="44">
        <f t="shared" si="17"/>
        <v>922.25</v>
      </c>
      <c r="D64" s="44">
        <f t="shared" si="17"/>
        <v>-5601.5</v>
      </c>
      <c r="E64" s="44">
        <f t="shared" si="17"/>
        <v>-19571.25</v>
      </c>
      <c r="F64" s="44">
        <f t="shared" si="17"/>
        <v>-32487</v>
      </c>
      <c r="G64" s="44">
        <f t="shared" si="17"/>
        <v>-44348.75</v>
      </c>
    </row>
    <row r="65" spans="1:7">
      <c r="A65" s="49"/>
      <c r="B65" s="49"/>
      <c r="C65" s="49"/>
      <c r="D65" s="49"/>
      <c r="E65" s="49"/>
      <c r="F65" s="49"/>
      <c r="G65" s="49"/>
    </row>
    <row r="66" spans="1:7" ht="17">
      <c r="A66" s="3" t="str">
        <f>A35</f>
        <v>Total Lia &amp; Equity</v>
      </c>
      <c r="B66" s="44">
        <f t="shared" ref="B66:G66" si="18">B59+B64</f>
        <v>0</v>
      </c>
      <c r="C66" s="44">
        <f t="shared" si="18"/>
        <v>1027.25</v>
      </c>
      <c r="D66" s="44">
        <f t="shared" si="18"/>
        <v>94587.5</v>
      </c>
      <c r="E66" s="44">
        <f t="shared" si="18"/>
        <v>80701.75</v>
      </c>
      <c r="F66" s="44">
        <f t="shared" si="18"/>
        <v>67870</v>
      </c>
      <c r="G66" s="44">
        <f t="shared" si="18"/>
        <v>56092.25</v>
      </c>
    </row>
  </sheetData>
  <sheetProtection sheet="1" objects="1" scenarios="1" selectLockedCells="1"/>
  <mergeCells count="5">
    <mergeCell ref="C2:F2"/>
    <mergeCell ref="G2:J2"/>
    <mergeCell ref="K2:N2"/>
    <mergeCell ref="O2:R2"/>
    <mergeCell ref="S2:V2"/>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U41"/>
  <sheetViews>
    <sheetView showGridLines="0" showRowColHeaders="0" zoomScale="80" zoomScaleNormal="80" zoomScalePageLayoutView="80" workbookViewId="0">
      <pane xSplit="1" topLeftCell="B1" activePane="topRight" state="frozen"/>
      <selection activeCell="B4" sqref="B4"/>
      <selection pane="topRight" activeCell="H15" sqref="H15"/>
    </sheetView>
  </sheetViews>
  <sheetFormatPr baseColWidth="10" defaultColWidth="8.83203125" defaultRowHeight="13" x14ac:dyDescent="0"/>
  <cols>
    <col min="1" max="1" width="24.6640625" style="6" customWidth="1"/>
    <col min="2" max="21" width="12.5" style="6" customWidth="1"/>
    <col min="22" max="16384" width="8.83203125" style="6"/>
  </cols>
  <sheetData>
    <row r="1" spans="1:21" ht="100" customHeight="1"/>
    <row r="2" spans="1:21" s="3" customFormat="1" ht="17" customHeight="1">
      <c r="B2" s="80">
        <f>Vol!B2</f>
        <v>2018</v>
      </c>
      <c r="C2" s="80"/>
      <c r="D2" s="80"/>
      <c r="E2" s="80"/>
      <c r="F2" s="81">
        <f>B2+1</f>
        <v>2019</v>
      </c>
      <c r="G2" s="82"/>
      <c r="H2" s="82"/>
      <c r="I2" s="83"/>
      <c r="J2" s="80">
        <f>F2+1</f>
        <v>2020</v>
      </c>
      <c r="K2" s="80"/>
      <c r="L2" s="80"/>
      <c r="M2" s="80"/>
      <c r="N2" s="80">
        <f>J2+1</f>
        <v>2021</v>
      </c>
      <c r="O2" s="80"/>
      <c r="P2" s="80"/>
      <c r="Q2" s="80"/>
      <c r="R2" s="80">
        <f>N2+1</f>
        <v>2022</v>
      </c>
      <c r="S2" s="80"/>
      <c r="T2" s="80"/>
      <c r="U2" s="80"/>
    </row>
    <row r="3" spans="1:21" s="3" customFormat="1" ht="17">
      <c r="B3" s="52" t="s">
        <v>25</v>
      </c>
      <c r="C3" s="52" t="s">
        <v>26</v>
      </c>
      <c r="D3" s="52" t="s">
        <v>27</v>
      </c>
      <c r="E3" s="52" t="s">
        <v>28</v>
      </c>
      <c r="F3" s="52" t="s">
        <v>25</v>
      </c>
      <c r="G3" s="52" t="s">
        <v>26</v>
      </c>
      <c r="H3" s="52" t="s">
        <v>27</v>
      </c>
      <c r="I3" s="52" t="s">
        <v>28</v>
      </c>
      <c r="J3" s="52" t="s">
        <v>25</v>
      </c>
      <c r="K3" s="52" t="s">
        <v>26</v>
      </c>
      <c r="L3" s="52" t="s">
        <v>27</v>
      </c>
      <c r="M3" s="52" t="s">
        <v>28</v>
      </c>
      <c r="N3" s="52" t="s">
        <v>25</v>
      </c>
      <c r="O3" s="52" t="s">
        <v>26</v>
      </c>
      <c r="P3" s="52" t="s">
        <v>27</v>
      </c>
      <c r="Q3" s="52" t="s">
        <v>28</v>
      </c>
      <c r="R3" s="52" t="s">
        <v>25</v>
      </c>
      <c r="S3" s="52" t="s">
        <v>26</v>
      </c>
      <c r="T3" s="52" t="s">
        <v>27</v>
      </c>
      <c r="U3" s="52" t="s">
        <v>28</v>
      </c>
    </row>
    <row r="4" spans="1:21" ht="17">
      <c r="A4" s="3" t="s">
        <v>1</v>
      </c>
      <c r="B4" s="44">
        <f>Vol!B6</f>
        <v>350</v>
      </c>
      <c r="C4" s="44">
        <f>Vol!C6</f>
        <v>525</v>
      </c>
      <c r="D4" s="44">
        <f>Vol!D6</f>
        <v>700</v>
      </c>
      <c r="E4" s="44">
        <f>Vol!E6</f>
        <v>875</v>
      </c>
      <c r="F4" s="44">
        <f>Vol!F6</f>
        <v>1050</v>
      </c>
      <c r="G4" s="44">
        <f>Vol!G6</f>
        <v>1225</v>
      </c>
      <c r="H4" s="44">
        <f>Vol!H6</f>
        <v>1400</v>
      </c>
      <c r="I4" s="44">
        <f>Vol!I6</f>
        <v>1575</v>
      </c>
      <c r="J4" s="44">
        <f>Vol!J6</f>
        <v>1750</v>
      </c>
      <c r="K4" s="44">
        <f>Vol!K6</f>
        <v>1925</v>
      </c>
      <c r="L4" s="44">
        <f>Vol!L6</f>
        <v>2100</v>
      </c>
      <c r="M4" s="44">
        <f>Vol!M6</f>
        <v>2275</v>
      </c>
      <c r="N4" s="44">
        <f>Vol!N6</f>
        <v>2450</v>
      </c>
      <c r="O4" s="44">
        <f>Vol!O6</f>
        <v>2625</v>
      </c>
      <c r="P4" s="44">
        <f>Vol!P6</f>
        <v>2800</v>
      </c>
      <c r="Q4" s="44">
        <f>Vol!Q6</f>
        <v>2975</v>
      </c>
      <c r="R4" s="44">
        <f>Vol!R6</f>
        <v>3150</v>
      </c>
      <c r="S4" s="44">
        <f>Vol!S6</f>
        <v>3325</v>
      </c>
      <c r="T4" s="44">
        <f>Vol!T6</f>
        <v>3500</v>
      </c>
      <c r="U4" s="44">
        <f>Vol!U6</f>
        <v>3675</v>
      </c>
    </row>
    <row r="5" spans="1:21">
      <c r="B5" s="53"/>
      <c r="C5" s="53"/>
      <c r="D5" s="53"/>
      <c r="E5" s="53"/>
      <c r="F5" s="53"/>
      <c r="G5" s="53"/>
      <c r="H5" s="53"/>
      <c r="I5" s="53"/>
      <c r="J5" s="53"/>
      <c r="K5" s="53"/>
      <c r="L5" s="53"/>
      <c r="M5" s="53"/>
      <c r="N5" s="53"/>
      <c r="O5" s="53"/>
      <c r="P5" s="53"/>
      <c r="Q5" s="53"/>
      <c r="R5" s="53"/>
      <c r="S5" s="53"/>
      <c r="T5" s="53"/>
      <c r="U5" s="53"/>
    </row>
    <row r="6" spans="1:21" ht="17">
      <c r="A6" s="3" t="s">
        <v>5</v>
      </c>
      <c r="B6" s="44">
        <f>Vol!B7</f>
        <v>100</v>
      </c>
      <c r="C6" s="44">
        <f>Vol!C7</f>
        <v>150</v>
      </c>
      <c r="D6" s="44">
        <f>Vol!D7</f>
        <v>200</v>
      </c>
      <c r="E6" s="44">
        <f>Vol!E7</f>
        <v>250</v>
      </c>
      <c r="F6" s="44">
        <f>Vol!F7</f>
        <v>300</v>
      </c>
      <c r="G6" s="44">
        <f>Vol!G7</f>
        <v>350</v>
      </c>
      <c r="H6" s="44">
        <f>Vol!H7</f>
        <v>400</v>
      </c>
      <c r="I6" s="44">
        <f>Vol!I7</f>
        <v>450</v>
      </c>
      <c r="J6" s="44">
        <f>Vol!J7</f>
        <v>500</v>
      </c>
      <c r="K6" s="44">
        <f>Vol!K7</f>
        <v>550</v>
      </c>
      <c r="L6" s="44">
        <f>Vol!L7</f>
        <v>600</v>
      </c>
      <c r="M6" s="44">
        <f>Vol!M7</f>
        <v>650</v>
      </c>
      <c r="N6" s="44">
        <f>Vol!N7</f>
        <v>700</v>
      </c>
      <c r="O6" s="44">
        <f>Vol!O7</f>
        <v>750</v>
      </c>
      <c r="P6" s="44">
        <f>Vol!P7</f>
        <v>800</v>
      </c>
      <c r="Q6" s="44">
        <f>Vol!Q7</f>
        <v>850</v>
      </c>
      <c r="R6" s="44">
        <f>Vol!R7</f>
        <v>900</v>
      </c>
      <c r="S6" s="44">
        <f>Vol!S7</f>
        <v>950</v>
      </c>
      <c r="T6" s="44">
        <f>Vol!T7</f>
        <v>1000</v>
      </c>
      <c r="U6" s="44">
        <f>Vol!U7</f>
        <v>1050</v>
      </c>
    </row>
    <row r="7" spans="1:21" ht="17">
      <c r="A7" s="3" t="s">
        <v>6</v>
      </c>
      <c r="B7" s="44">
        <f>Vol!B8</f>
        <v>40</v>
      </c>
      <c r="C7" s="44">
        <f>Vol!C8</f>
        <v>60</v>
      </c>
      <c r="D7" s="44">
        <f>Vol!D8</f>
        <v>80</v>
      </c>
      <c r="E7" s="44">
        <f>Vol!E8</f>
        <v>100</v>
      </c>
      <c r="F7" s="44">
        <f>Vol!F8</f>
        <v>120</v>
      </c>
      <c r="G7" s="44">
        <f>Vol!G8</f>
        <v>140</v>
      </c>
      <c r="H7" s="44">
        <f>Vol!H8</f>
        <v>160</v>
      </c>
      <c r="I7" s="44">
        <f>Vol!I8</f>
        <v>180</v>
      </c>
      <c r="J7" s="44">
        <f>Vol!J8</f>
        <v>200</v>
      </c>
      <c r="K7" s="44">
        <f>Vol!K8</f>
        <v>220</v>
      </c>
      <c r="L7" s="44">
        <f>Vol!L8</f>
        <v>240</v>
      </c>
      <c r="M7" s="44">
        <f>Vol!M8</f>
        <v>260</v>
      </c>
      <c r="N7" s="44">
        <f>Vol!N8</f>
        <v>280</v>
      </c>
      <c r="O7" s="44">
        <f>Vol!O8</f>
        <v>300</v>
      </c>
      <c r="P7" s="44">
        <f>Vol!P8</f>
        <v>320</v>
      </c>
      <c r="Q7" s="44">
        <f>Vol!Q8</f>
        <v>340</v>
      </c>
      <c r="R7" s="44">
        <f>Vol!R8</f>
        <v>360</v>
      </c>
      <c r="S7" s="44">
        <f>Vol!S8</f>
        <v>380</v>
      </c>
      <c r="T7" s="44">
        <f>Vol!T8</f>
        <v>400</v>
      </c>
      <c r="U7" s="44">
        <f>Vol!U8</f>
        <v>420</v>
      </c>
    </row>
    <row r="8" spans="1:21" ht="17">
      <c r="A8" s="3" t="s">
        <v>7</v>
      </c>
      <c r="B8" s="44">
        <f>Vol!B9</f>
        <v>55</v>
      </c>
      <c r="C8" s="44">
        <f>Vol!C9</f>
        <v>82.5</v>
      </c>
      <c r="D8" s="44">
        <f>Vol!D9</f>
        <v>110</v>
      </c>
      <c r="E8" s="44">
        <f>Vol!E9</f>
        <v>137.5</v>
      </c>
      <c r="F8" s="44">
        <f>Vol!F9</f>
        <v>165</v>
      </c>
      <c r="G8" s="44">
        <f>Vol!G9</f>
        <v>192.5</v>
      </c>
      <c r="H8" s="44">
        <f>Vol!H9</f>
        <v>220</v>
      </c>
      <c r="I8" s="44">
        <f>Vol!I9</f>
        <v>247.5</v>
      </c>
      <c r="J8" s="44">
        <f>Vol!J9</f>
        <v>275</v>
      </c>
      <c r="K8" s="44">
        <f>Vol!K9</f>
        <v>302.5</v>
      </c>
      <c r="L8" s="44">
        <f>Vol!L9</f>
        <v>330</v>
      </c>
      <c r="M8" s="44">
        <f>Vol!M9</f>
        <v>357.5</v>
      </c>
      <c r="N8" s="44">
        <f>Vol!N9</f>
        <v>385</v>
      </c>
      <c r="O8" s="44">
        <f>Vol!O9</f>
        <v>412.5</v>
      </c>
      <c r="P8" s="44">
        <f>Vol!P9</f>
        <v>440</v>
      </c>
      <c r="Q8" s="44">
        <f>Vol!Q9</f>
        <v>467.5</v>
      </c>
      <c r="R8" s="44">
        <f>Vol!R9</f>
        <v>495</v>
      </c>
      <c r="S8" s="44">
        <f>Vol!S9</f>
        <v>522.5</v>
      </c>
      <c r="T8" s="44">
        <f>Vol!T9</f>
        <v>550</v>
      </c>
      <c r="U8" s="44">
        <f>Vol!U9</f>
        <v>577.5</v>
      </c>
    </row>
    <row r="9" spans="1:21" ht="17">
      <c r="A9" s="3" t="s">
        <v>50</v>
      </c>
      <c r="B9" s="44">
        <f>Bal!C12/(Para!$E$25*4)</f>
        <v>0</v>
      </c>
      <c r="C9" s="44">
        <f>Bal!D12/(Para!$E$25*4)</f>
        <v>0</v>
      </c>
      <c r="D9" s="44">
        <f>Bal!E12/(Para!$E$25*4)</f>
        <v>0</v>
      </c>
      <c r="E9" s="44">
        <f>Bal!F12/(Para!$E$25*4)</f>
        <v>0</v>
      </c>
      <c r="F9" s="44">
        <f>Bal!G12/(Para!$E$25*4)</f>
        <v>0</v>
      </c>
      <c r="G9" s="44">
        <f>Bal!H12/(Para!$E$25*4)</f>
        <v>0</v>
      </c>
      <c r="H9" s="44">
        <f>Bal!I12/(Para!$E$25*4)</f>
        <v>0</v>
      </c>
      <c r="I9" s="44">
        <f>Bal!J12/(Para!$E$25*4)</f>
        <v>2500</v>
      </c>
      <c r="J9" s="44">
        <f>Bal!K12/(Para!$E$25*4)</f>
        <v>2500</v>
      </c>
      <c r="K9" s="44">
        <f>Bal!L12/(Para!$E$25*4)</f>
        <v>2500</v>
      </c>
      <c r="L9" s="44">
        <f>Bal!M12/(Para!$E$25*4)</f>
        <v>2500</v>
      </c>
      <c r="M9" s="44">
        <f>Bal!N12/(Para!$E$25*4)</f>
        <v>2500</v>
      </c>
      <c r="N9" s="44">
        <f>Bal!O12/(Para!$E$25*4)</f>
        <v>2500</v>
      </c>
      <c r="O9" s="44">
        <f>Bal!P12/(Para!$E$25*4)</f>
        <v>2500</v>
      </c>
      <c r="P9" s="44">
        <f>Bal!Q12/(Para!$E$25*4)</f>
        <v>2500</v>
      </c>
      <c r="Q9" s="44">
        <f>Bal!R12/(Para!$E$25*4)</f>
        <v>2500</v>
      </c>
      <c r="R9" s="44">
        <f>Bal!S12/(Para!$E$25*4)</f>
        <v>2500</v>
      </c>
      <c r="S9" s="44">
        <f>Bal!T12/(Para!$E$25*4)</f>
        <v>2500</v>
      </c>
      <c r="T9" s="44">
        <f>Bal!U12/(Para!$E$25*4)</f>
        <v>2500</v>
      </c>
      <c r="U9" s="44">
        <f>Bal!V12/(Para!$E$25*4)</f>
        <v>2500</v>
      </c>
    </row>
    <row r="10" spans="1:21">
      <c r="B10" s="53"/>
      <c r="C10" s="53"/>
      <c r="D10" s="53"/>
      <c r="E10" s="53"/>
      <c r="F10" s="53"/>
      <c r="G10" s="53"/>
      <c r="H10" s="53"/>
      <c r="I10" s="53"/>
      <c r="J10" s="53"/>
      <c r="K10" s="53"/>
      <c r="L10" s="53"/>
      <c r="M10" s="53"/>
      <c r="N10" s="53"/>
      <c r="O10" s="53"/>
      <c r="P10" s="53"/>
      <c r="Q10" s="53"/>
      <c r="R10" s="53"/>
      <c r="S10" s="53"/>
      <c r="T10" s="53"/>
      <c r="U10" s="53"/>
    </row>
    <row r="11" spans="1:21" ht="17">
      <c r="A11" s="3" t="s">
        <v>2</v>
      </c>
      <c r="B11" s="44">
        <f t="shared" ref="B11:U11" si="0">SUM(B6:B9)</f>
        <v>195</v>
      </c>
      <c r="C11" s="44">
        <f t="shared" si="0"/>
        <v>292.5</v>
      </c>
      <c r="D11" s="44">
        <f t="shared" si="0"/>
        <v>390</v>
      </c>
      <c r="E11" s="44">
        <f t="shared" si="0"/>
        <v>487.5</v>
      </c>
      <c r="F11" s="44">
        <f t="shared" si="0"/>
        <v>585</v>
      </c>
      <c r="G11" s="44">
        <f t="shared" si="0"/>
        <v>682.5</v>
      </c>
      <c r="H11" s="44">
        <f t="shared" si="0"/>
        <v>780</v>
      </c>
      <c r="I11" s="44">
        <f t="shared" si="0"/>
        <v>3377.5</v>
      </c>
      <c r="J11" s="44">
        <f t="shared" si="0"/>
        <v>3475</v>
      </c>
      <c r="K11" s="44">
        <f t="shared" si="0"/>
        <v>3572.5</v>
      </c>
      <c r="L11" s="44">
        <f t="shared" si="0"/>
        <v>3670</v>
      </c>
      <c r="M11" s="44">
        <f t="shared" si="0"/>
        <v>3767.5</v>
      </c>
      <c r="N11" s="44">
        <f t="shared" si="0"/>
        <v>3865</v>
      </c>
      <c r="O11" s="44">
        <f t="shared" si="0"/>
        <v>3962.5</v>
      </c>
      <c r="P11" s="44">
        <f t="shared" si="0"/>
        <v>4060</v>
      </c>
      <c r="Q11" s="44">
        <f t="shared" si="0"/>
        <v>4157.5</v>
      </c>
      <c r="R11" s="44">
        <f t="shared" si="0"/>
        <v>4255</v>
      </c>
      <c r="S11" s="44">
        <f t="shared" si="0"/>
        <v>4352.5</v>
      </c>
      <c r="T11" s="44">
        <f t="shared" si="0"/>
        <v>4450</v>
      </c>
      <c r="U11" s="44">
        <f t="shared" si="0"/>
        <v>4547.5</v>
      </c>
    </row>
    <row r="12" spans="1:21" ht="17">
      <c r="A12" s="3" t="s">
        <v>12</v>
      </c>
      <c r="B12" s="44">
        <f>B4-B11</f>
        <v>155</v>
      </c>
      <c r="C12" s="44">
        <f t="shared" ref="C12:U12" si="1">C4-C11</f>
        <v>232.5</v>
      </c>
      <c r="D12" s="44">
        <f t="shared" si="1"/>
        <v>310</v>
      </c>
      <c r="E12" s="44">
        <f t="shared" si="1"/>
        <v>387.5</v>
      </c>
      <c r="F12" s="44">
        <f t="shared" si="1"/>
        <v>465</v>
      </c>
      <c r="G12" s="44">
        <f t="shared" si="1"/>
        <v>542.5</v>
      </c>
      <c r="H12" s="44">
        <f t="shared" si="1"/>
        <v>620</v>
      </c>
      <c r="I12" s="44">
        <f t="shared" si="1"/>
        <v>-1802.5</v>
      </c>
      <c r="J12" s="44">
        <f t="shared" si="1"/>
        <v>-1725</v>
      </c>
      <c r="K12" s="44">
        <f t="shared" si="1"/>
        <v>-1647.5</v>
      </c>
      <c r="L12" s="44">
        <f t="shared" si="1"/>
        <v>-1570</v>
      </c>
      <c r="M12" s="44">
        <f t="shared" si="1"/>
        <v>-1492.5</v>
      </c>
      <c r="N12" s="44">
        <f t="shared" si="1"/>
        <v>-1415</v>
      </c>
      <c r="O12" s="44">
        <f t="shared" si="1"/>
        <v>-1337.5</v>
      </c>
      <c r="P12" s="44">
        <f t="shared" si="1"/>
        <v>-1260</v>
      </c>
      <c r="Q12" s="44">
        <f t="shared" si="1"/>
        <v>-1182.5</v>
      </c>
      <c r="R12" s="44">
        <f t="shared" si="1"/>
        <v>-1105</v>
      </c>
      <c r="S12" s="44">
        <f t="shared" si="1"/>
        <v>-1027.5</v>
      </c>
      <c r="T12" s="44">
        <f t="shared" si="1"/>
        <v>-950</v>
      </c>
      <c r="U12" s="44">
        <f t="shared" si="1"/>
        <v>-872.5</v>
      </c>
    </row>
    <row r="13" spans="1:21" ht="17">
      <c r="A13" s="3" t="s">
        <v>13</v>
      </c>
      <c r="B13" s="54">
        <f>B12/B4</f>
        <v>0.44285714285714284</v>
      </c>
      <c r="C13" s="54">
        <f t="shared" ref="C13:U13" si="2">C12/C4</f>
        <v>0.44285714285714284</v>
      </c>
      <c r="D13" s="54">
        <f t="shared" si="2"/>
        <v>0.44285714285714284</v>
      </c>
      <c r="E13" s="54">
        <f t="shared" si="2"/>
        <v>0.44285714285714284</v>
      </c>
      <c r="F13" s="54">
        <f t="shared" si="2"/>
        <v>0.44285714285714284</v>
      </c>
      <c r="G13" s="54">
        <f t="shared" si="2"/>
        <v>0.44285714285714284</v>
      </c>
      <c r="H13" s="54">
        <f t="shared" si="2"/>
        <v>0.44285714285714284</v>
      </c>
      <c r="I13" s="54">
        <f t="shared" si="2"/>
        <v>-1.1444444444444444</v>
      </c>
      <c r="J13" s="54">
        <f t="shared" si="2"/>
        <v>-0.98571428571428577</v>
      </c>
      <c r="K13" s="54">
        <f t="shared" si="2"/>
        <v>-0.85584415584415585</v>
      </c>
      <c r="L13" s="54">
        <f t="shared" si="2"/>
        <v>-0.74761904761904763</v>
      </c>
      <c r="M13" s="54">
        <f t="shared" si="2"/>
        <v>-0.65604395604395604</v>
      </c>
      <c r="N13" s="54">
        <f t="shared" si="2"/>
        <v>-0.57755102040816331</v>
      </c>
      <c r="O13" s="54">
        <f t="shared" si="2"/>
        <v>-0.50952380952380949</v>
      </c>
      <c r="P13" s="54">
        <f t="shared" si="2"/>
        <v>-0.45</v>
      </c>
      <c r="Q13" s="54">
        <f t="shared" si="2"/>
        <v>-0.39747899159663863</v>
      </c>
      <c r="R13" s="54">
        <f t="shared" si="2"/>
        <v>-0.35079365079365077</v>
      </c>
      <c r="S13" s="54">
        <f t="shared" si="2"/>
        <v>-0.30902255639097742</v>
      </c>
      <c r="T13" s="54">
        <f t="shared" si="2"/>
        <v>-0.27142857142857141</v>
      </c>
      <c r="U13" s="54">
        <f t="shared" si="2"/>
        <v>-0.23741496598639455</v>
      </c>
    </row>
    <row r="14" spans="1:21">
      <c r="B14" s="37"/>
      <c r="C14" s="37"/>
      <c r="D14" s="37"/>
      <c r="E14" s="37"/>
      <c r="F14" s="37"/>
      <c r="G14" s="37"/>
      <c r="H14" s="37"/>
      <c r="I14" s="37"/>
      <c r="J14" s="37"/>
      <c r="K14" s="37"/>
      <c r="L14" s="37"/>
      <c r="M14" s="37"/>
      <c r="N14" s="37"/>
      <c r="O14" s="37"/>
      <c r="P14" s="37"/>
      <c r="Q14" s="37"/>
      <c r="R14" s="37"/>
      <c r="S14" s="37"/>
      <c r="T14" s="37"/>
      <c r="U14" s="37"/>
    </row>
    <row r="15" spans="1:21" ht="17">
      <c r="A15" s="3" t="s">
        <v>8</v>
      </c>
      <c r="B15" s="44">
        <f>Vol!B13</f>
        <v>0</v>
      </c>
      <c r="C15" s="44">
        <f>Vol!C13</f>
        <v>0</v>
      </c>
      <c r="D15" s="44">
        <f>Vol!D13</f>
        <v>0</v>
      </c>
      <c r="E15" s="44">
        <f>Vol!E13</f>
        <v>0</v>
      </c>
      <c r="F15" s="44">
        <f>Vol!F13</f>
        <v>0</v>
      </c>
      <c r="G15" s="44">
        <f>Vol!G13</f>
        <v>0</v>
      </c>
      <c r="H15" s="44">
        <f>Vol!H13</f>
        <v>0</v>
      </c>
      <c r="I15" s="44">
        <f>Vol!I13</f>
        <v>0</v>
      </c>
      <c r="J15" s="44">
        <f>Vol!J13</f>
        <v>0</v>
      </c>
      <c r="K15" s="44">
        <f>Vol!K13</f>
        <v>0</v>
      </c>
      <c r="L15" s="44">
        <f>Vol!L13</f>
        <v>0</v>
      </c>
      <c r="M15" s="44">
        <f>Vol!M13</f>
        <v>0</v>
      </c>
      <c r="N15" s="44">
        <f>Vol!N13</f>
        <v>0</v>
      </c>
      <c r="O15" s="44">
        <f>Vol!O13</f>
        <v>0</v>
      </c>
      <c r="P15" s="44">
        <f>Vol!P13</f>
        <v>0</v>
      </c>
      <c r="Q15" s="44">
        <f>Vol!Q13</f>
        <v>0</v>
      </c>
      <c r="R15" s="44">
        <f>Vol!R13</f>
        <v>0</v>
      </c>
      <c r="S15" s="44">
        <f>Vol!S13</f>
        <v>0</v>
      </c>
      <c r="T15" s="44">
        <f>Vol!T13</f>
        <v>0</v>
      </c>
      <c r="U15" s="44">
        <f>Vol!U13</f>
        <v>0</v>
      </c>
    </row>
    <row r="16" spans="1:21" ht="17">
      <c r="A16" s="3" t="s">
        <v>9</v>
      </c>
      <c r="B16" s="44">
        <f>Vol!B14</f>
        <v>0</v>
      </c>
      <c r="C16" s="44">
        <f>Vol!C14</f>
        <v>0</v>
      </c>
      <c r="D16" s="44">
        <f>Vol!D14</f>
        <v>0</v>
      </c>
      <c r="E16" s="44">
        <f>Vol!E14</f>
        <v>0</v>
      </c>
      <c r="F16" s="44">
        <f>Vol!F14</f>
        <v>0</v>
      </c>
      <c r="G16" s="44">
        <f>Vol!G14</f>
        <v>0</v>
      </c>
      <c r="H16" s="44">
        <f>Vol!H14</f>
        <v>0</v>
      </c>
      <c r="I16" s="44">
        <f>Vol!I14</f>
        <v>0</v>
      </c>
      <c r="J16" s="44">
        <f>Vol!J14</f>
        <v>0</v>
      </c>
      <c r="K16" s="44">
        <f>Vol!K14</f>
        <v>0</v>
      </c>
      <c r="L16" s="44">
        <f>Vol!L14</f>
        <v>0</v>
      </c>
      <c r="M16" s="44">
        <f>Vol!M14</f>
        <v>0</v>
      </c>
      <c r="N16" s="44">
        <f>Vol!N14</f>
        <v>0</v>
      </c>
      <c r="O16" s="44">
        <f>Vol!O14</f>
        <v>0</v>
      </c>
      <c r="P16" s="44">
        <f>Vol!P14</f>
        <v>0</v>
      </c>
      <c r="Q16" s="44">
        <f>Vol!Q14</f>
        <v>0</v>
      </c>
      <c r="R16" s="44">
        <f>Vol!R14</f>
        <v>0</v>
      </c>
      <c r="S16" s="44">
        <f>Vol!S14</f>
        <v>0</v>
      </c>
      <c r="T16" s="44">
        <f>Vol!T14</f>
        <v>0</v>
      </c>
      <c r="U16" s="44">
        <f>Vol!U14</f>
        <v>0</v>
      </c>
    </row>
    <row r="17" spans="1:21" ht="17">
      <c r="A17" s="3" t="s">
        <v>10</v>
      </c>
      <c r="B17" s="44">
        <f>Vol!B15</f>
        <v>0</v>
      </c>
      <c r="C17" s="44">
        <f>Vol!C15</f>
        <v>0</v>
      </c>
      <c r="D17" s="44">
        <f>Vol!D15</f>
        <v>0</v>
      </c>
      <c r="E17" s="44">
        <f>Vol!E15</f>
        <v>0</v>
      </c>
      <c r="F17" s="44">
        <f>Vol!F15</f>
        <v>0</v>
      </c>
      <c r="G17" s="44">
        <f>Vol!G15</f>
        <v>0</v>
      </c>
      <c r="H17" s="44">
        <f>Vol!H15</f>
        <v>0</v>
      </c>
      <c r="I17" s="44">
        <f>Vol!I15</f>
        <v>0</v>
      </c>
      <c r="J17" s="44">
        <f>Vol!J15</f>
        <v>0</v>
      </c>
      <c r="K17" s="44">
        <f>Vol!K15</f>
        <v>0</v>
      </c>
      <c r="L17" s="44">
        <f>Vol!L15</f>
        <v>0</v>
      </c>
      <c r="M17" s="44">
        <f>Vol!M15</f>
        <v>0</v>
      </c>
      <c r="N17" s="44">
        <f>Vol!N15</f>
        <v>0</v>
      </c>
      <c r="O17" s="44">
        <f>Vol!O15</f>
        <v>0</v>
      </c>
      <c r="P17" s="44">
        <f>Vol!P15</f>
        <v>0</v>
      </c>
      <c r="Q17" s="44">
        <f>Vol!Q15</f>
        <v>0</v>
      </c>
      <c r="R17" s="44">
        <f>Vol!R15</f>
        <v>0</v>
      </c>
      <c r="S17" s="44">
        <f>Vol!S15</f>
        <v>0</v>
      </c>
      <c r="T17" s="44">
        <f>Vol!T15</f>
        <v>0</v>
      </c>
      <c r="U17" s="44">
        <f>Vol!U15</f>
        <v>0</v>
      </c>
    </row>
    <row r="18" spans="1:21" ht="17">
      <c r="A18" s="3" t="s">
        <v>51</v>
      </c>
      <c r="B18" s="44">
        <f>Bal!C25*Para!$E$23/4</f>
        <v>0</v>
      </c>
      <c r="C18" s="44">
        <f>Bal!D25*Para!$E$23/4</f>
        <v>0</v>
      </c>
      <c r="D18" s="44">
        <f>Bal!E25*Para!$E$23/4</f>
        <v>0</v>
      </c>
      <c r="E18" s="44">
        <f>Bal!F25*Para!$E$23/4</f>
        <v>0</v>
      </c>
      <c r="F18" s="44">
        <f>Bal!G25*Para!$E$23/4</f>
        <v>0</v>
      </c>
      <c r="G18" s="44">
        <f>Bal!H25*Para!$E$23/4</f>
        <v>2500</v>
      </c>
      <c r="H18" s="44">
        <f>Bal!I25*Para!$E$23/4</f>
        <v>2500</v>
      </c>
      <c r="I18" s="44">
        <f>Bal!J25*Para!$E$23/4</f>
        <v>2500</v>
      </c>
      <c r="J18" s="44">
        <f>Bal!K25*Para!$E$23/4</f>
        <v>2500</v>
      </c>
      <c r="K18" s="44">
        <f>Bal!L25*Para!$E$23/4</f>
        <v>2500</v>
      </c>
      <c r="L18" s="44">
        <f>Bal!M25*Para!$E$23/4</f>
        <v>2500</v>
      </c>
      <c r="M18" s="44">
        <f>Bal!N25*Para!$E$23/4</f>
        <v>2500</v>
      </c>
      <c r="N18" s="44">
        <f>Bal!O25*Para!$E$23/4</f>
        <v>2500</v>
      </c>
      <c r="O18" s="44">
        <f>Bal!P25*Para!$E$23/4</f>
        <v>2500</v>
      </c>
      <c r="P18" s="44">
        <f>Bal!Q25*Para!$E$23/4</f>
        <v>2500</v>
      </c>
      <c r="Q18" s="44">
        <f>Bal!R25*Para!$E$23/4</f>
        <v>2500</v>
      </c>
      <c r="R18" s="44">
        <f>Bal!S25*Para!$E$23/4</f>
        <v>2500</v>
      </c>
      <c r="S18" s="44">
        <f>Bal!T25*Para!$E$23/4</f>
        <v>2500</v>
      </c>
      <c r="T18" s="44">
        <f>Bal!U25*Para!$E$23/4</f>
        <v>2500</v>
      </c>
      <c r="U18" s="44">
        <f>Bal!V25*Para!$E$23/4</f>
        <v>2500</v>
      </c>
    </row>
    <row r="19" spans="1:21" ht="17">
      <c r="A19" s="3" t="s">
        <v>11</v>
      </c>
      <c r="B19" s="44">
        <f>Vol!B16</f>
        <v>0</v>
      </c>
      <c r="C19" s="44">
        <f>Vol!C16</f>
        <v>0</v>
      </c>
      <c r="D19" s="44">
        <f>Vol!D16</f>
        <v>0</v>
      </c>
      <c r="E19" s="44">
        <f>Vol!E16</f>
        <v>0</v>
      </c>
      <c r="F19" s="44">
        <f>Vol!F16</f>
        <v>0</v>
      </c>
      <c r="G19" s="44">
        <f>Vol!G16</f>
        <v>0</v>
      </c>
      <c r="H19" s="44">
        <f>Vol!H16</f>
        <v>0</v>
      </c>
      <c r="I19" s="44">
        <f>Vol!I16</f>
        <v>0</v>
      </c>
      <c r="J19" s="44">
        <f>Vol!J16</f>
        <v>0</v>
      </c>
      <c r="K19" s="44">
        <f>Vol!K16</f>
        <v>0</v>
      </c>
      <c r="L19" s="44">
        <f>Vol!L16</f>
        <v>0</v>
      </c>
      <c r="M19" s="44">
        <f>Vol!M16</f>
        <v>0</v>
      </c>
      <c r="N19" s="44">
        <f>Vol!N16</f>
        <v>0</v>
      </c>
      <c r="O19" s="44">
        <f>Vol!O16</f>
        <v>0</v>
      </c>
      <c r="P19" s="44">
        <f>Vol!P16</f>
        <v>0</v>
      </c>
      <c r="Q19" s="44">
        <f>Vol!Q16</f>
        <v>0</v>
      </c>
      <c r="R19" s="44">
        <f>Vol!R16</f>
        <v>0</v>
      </c>
      <c r="S19" s="44">
        <f>Vol!S16</f>
        <v>0</v>
      </c>
      <c r="T19" s="44">
        <f>Vol!T16</f>
        <v>0</v>
      </c>
      <c r="U19" s="44">
        <f>Vol!U16</f>
        <v>0</v>
      </c>
    </row>
    <row r="20" spans="1:21">
      <c r="B20" s="53"/>
      <c r="C20" s="53"/>
      <c r="D20" s="53"/>
      <c r="E20" s="53"/>
      <c r="F20" s="53"/>
      <c r="G20" s="53"/>
      <c r="H20" s="53"/>
      <c r="I20" s="53"/>
      <c r="J20" s="53"/>
      <c r="K20" s="53"/>
      <c r="L20" s="53"/>
      <c r="M20" s="53"/>
      <c r="N20" s="53"/>
      <c r="O20" s="53"/>
      <c r="P20" s="53"/>
      <c r="Q20" s="53"/>
      <c r="R20" s="53"/>
      <c r="S20" s="53"/>
      <c r="T20" s="53"/>
      <c r="U20" s="53"/>
    </row>
    <row r="21" spans="1:21" ht="17">
      <c r="A21" s="3" t="s">
        <v>4</v>
      </c>
      <c r="B21" s="44">
        <f>SUM(B15:B19)</f>
        <v>0</v>
      </c>
      <c r="C21" s="44">
        <f t="shared" ref="C21:U21" si="3">SUM(C15:C19)</f>
        <v>0</v>
      </c>
      <c r="D21" s="44">
        <f t="shared" si="3"/>
        <v>0</v>
      </c>
      <c r="E21" s="44">
        <f t="shared" si="3"/>
        <v>0</v>
      </c>
      <c r="F21" s="44">
        <f t="shared" si="3"/>
        <v>0</v>
      </c>
      <c r="G21" s="44">
        <f t="shared" si="3"/>
        <v>2500</v>
      </c>
      <c r="H21" s="44">
        <f t="shared" si="3"/>
        <v>2500</v>
      </c>
      <c r="I21" s="44">
        <f t="shared" si="3"/>
        <v>2500</v>
      </c>
      <c r="J21" s="44">
        <f t="shared" si="3"/>
        <v>2500</v>
      </c>
      <c r="K21" s="44">
        <f t="shared" si="3"/>
        <v>2500</v>
      </c>
      <c r="L21" s="44">
        <f t="shared" si="3"/>
        <v>2500</v>
      </c>
      <c r="M21" s="44">
        <f t="shared" si="3"/>
        <v>2500</v>
      </c>
      <c r="N21" s="44">
        <f t="shared" si="3"/>
        <v>2500</v>
      </c>
      <c r="O21" s="44">
        <f t="shared" si="3"/>
        <v>2500</v>
      </c>
      <c r="P21" s="44">
        <f t="shared" si="3"/>
        <v>2500</v>
      </c>
      <c r="Q21" s="44">
        <f t="shared" si="3"/>
        <v>2500</v>
      </c>
      <c r="R21" s="44">
        <f t="shared" si="3"/>
        <v>2500</v>
      </c>
      <c r="S21" s="44">
        <f t="shared" si="3"/>
        <v>2500</v>
      </c>
      <c r="T21" s="44">
        <f t="shared" si="3"/>
        <v>2500</v>
      </c>
      <c r="U21" s="44">
        <f t="shared" si="3"/>
        <v>2500</v>
      </c>
    </row>
    <row r="22" spans="1:21">
      <c r="B22" s="53"/>
      <c r="C22" s="53"/>
      <c r="D22" s="53"/>
      <c r="E22" s="53"/>
      <c r="F22" s="53"/>
      <c r="G22" s="53"/>
      <c r="H22" s="53"/>
      <c r="I22" s="53"/>
      <c r="J22" s="53"/>
      <c r="K22" s="53"/>
      <c r="L22" s="53"/>
      <c r="M22" s="53"/>
      <c r="N22" s="53"/>
      <c r="O22" s="53"/>
      <c r="P22" s="53"/>
      <c r="Q22" s="53"/>
      <c r="R22" s="53"/>
      <c r="S22" s="53"/>
      <c r="T22" s="53"/>
      <c r="U22" s="53"/>
    </row>
    <row r="23" spans="1:21" ht="17">
      <c r="A23" s="3" t="s">
        <v>14</v>
      </c>
      <c r="B23" s="44">
        <f>B12-B21</f>
        <v>155</v>
      </c>
      <c r="C23" s="44">
        <f t="shared" ref="C23:U23" si="4">C12-C21</f>
        <v>232.5</v>
      </c>
      <c r="D23" s="44">
        <f t="shared" si="4"/>
        <v>310</v>
      </c>
      <c r="E23" s="44">
        <f t="shared" si="4"/>
        <v>387.5</v>
      </c>
      <c r="F23" s="44">
        <f t="shared" si="4"/>
        <v>465</v>
      </c>
      <c r="G23" s="44">
        <f t="shared" si="4"/>
        <v>-1957.5</v>
      </c>
      <c r="H23" s="44">
        <f t="shared" si="4"/>
        <v>-1880</v>
      </c>
      <c r="I23" s="44">
        <f t="shared" si="4"/>
        <v>-4302.5</v>
      </c>
      <c r="J23" s="44">
        <f t="shared" si="4"/>
        <v>-4225</v>
      </c>
      <c r="K23" s="44">
        <f t="shared" si="4"/>
        <v>-4147.5</v>
      </c>
      <c r="L23" s="44">
        <f t="shared" si="4"/>
        <v>-4070</v>
      </c>
      <c r="M23" s="44">
        <f t="shared" si="4"/>
        <v>-3992.5</v>
      </c>
      <c r="N23" s="44">
        <f t="shared" si="4"/>
        <v>-3915</v>
      </c>
      <c r="O23" s="44">
        <f t="shared" si="4"/>
        <v>-3837.5</v>
      </c>
      <c r="P23" s="44">
        <f t="shared" si="4"/>
        <v>-3760</v>
      </c>
      <c r="Q23" s="44">
        <f t="shared" si="4"/>
        <v>-3682.5</v>
      </c>
      <c r="R23" s="44">
        <f t="shared" si="4"/>
        <v>-3605</v>
      </c>
      <c r="S23" s="44">
        <f t="shared" si="4"/>
        <v>-3527.5</v>
      </c>
      <c r="T23" s="44">
        <f t="shared" si="4"/>
        <v>-3450</v>
      </c>
      <c r="U23" s="44">
        <f t="shared" si="4"/>
        <v>-3372.5</v>
      </c>
    </row>
    <row r="24" spans="1:21" ht="17">
      <c r="A24" s="3" t="s">
        <v>15</v>
      </c>
      <c r="B24" s="54">
        <f>B23/B4</f>
        <v>0.44285714285714284</v>
      </c>
      <c r="C24" s="54">
        <f t="shared" ref="C24:U24" si="5">C23/C4</f>
        <v>0.44285714285714284</v>
      </c>
      <c r="D24" s="54">
        <f t="shared" si="5"/>
        <v>0.44285714285714284</v>
      </c>
      <c r="E24" s="54">
        <f t="shared" si="5"/>
        <v>0.44285714285714284</v>
      </c>
      <c r="F24" s="54">
        <f t="shared" si="5"/>
        <v>0.44285714285714284</v>
      </c>
      <c r="G24" s="54">
        <f t="shared" si="5"/>
        <v>-1.5979591836734695</v>
      </c>
      <c r="H24" s="54">
        <f t="shared" si="5"/>
        <v>-1.3428571428571427</v>
      </c>
      <c r="I24" s="54">
        <f t="shared" si="5"/>
        <v>-2.7317460317460318</v>
      </c>
      <c r="J24" s="54">
        <f t="shared" si="5"/>
        <v>-2.4142857142857141</v>
      </c>
      <c r="K24" s="54">
        <f t="shared" si="5"/>
        <v>-2.1545454545454548</v>
      </c>
      <c r="L24" s="54">
        <f t="shared" si="5"/>
        <v>-1.9380952380952381</v>
      </c>
      <c r="M24" s="54">
        <f t="shared" si="5"/>
        <v>-1.7549450549450549</v>
      </c>
      <c r="N24" s="54">
        <f t="shared" si="5"/>
        <v>-1.5979591836734695</v>
      </c>
      <c r="O24" s="54">
        <f t="shared" si="5"/>
        <v>-1.4619047619047618</v>
      </c>
      <c r="P24" s="54">
        <f t="shared" si="5"/>
        <v>-1.3428571428571427</v>
      </c>
      <c r="Q24" s="54">
        <f t="shared" si="5"/>
        <v>-1.2378151260504202</v>
      </c>
      <c r="R24" s="54">
        <f t="shared" si="5"/>
        <v>-1.1444444444444444</v>
      </c>
      <c r="S24" s="54">
        <f t="shared" si="5"/>
        <v>-1.0609022556390977</v>
      </c>
      <c r="T24" s="54">
        <f t="shared" si="5"/>
        <v>-0.98571428571428577</v>
      </c>
      <c r="U24" s="54">
        <f t="shared" si="5"/>
        <v>-0.91768707482993195</v>
      </c>
    </row>
    <row r="25" spans="1:21">
      <c r="B25" s="37"/>
      <c r="C25" s="37"/>
      <c r="D25" s="37"/>
      <c r="E25" s="37"/>
      <c r="F25" s="37"/>
      <c r="G25" s="37"/>
      <c r="H25" s="37"/>
      <c r="I25" s="37"/>
      <c r="J25" s="37"/>
      <c r="K25" s="37"/>
      <c r="L25" s="37"/>
      <c r="M25" s="37"/>
      <c r="N25" s="37"/>
      <c r="O25" s="37"/>
      <c r="P25" s="37"/>
      <c r="Q25" s="37"/>
      <c r="R25" s="37"/>
      <c r="S25" s="37"/>
      <c r="T25" s="37"/>
      <c r="U25" s="37"/>
    </row>
    <row r="26" spans="1:21" ht="17">
      <c r="A26" s="3" t="s">
        <v>17</v>
      </c>
      <c r="B26" s="44">
        <f t="shared" ref="B26:U26" si="6">B23*TaxRate</f>
        <v>23.25</v>
      </c>
      <c r="C26" s="44">
        <f t="shared" si="6"/>
        <v>34.875</v>
      </c>
      <c r="D26" s="44">
        <f t="shared" si="6"/>
        <v>46.5</v>
      </c>
      <c r="E26" s="44">
        <f t="shared" si="6"/>
        <v>58.125</v>
      </c>
      <c r="F26" s="44">
        <f t="shared" si="6"/>
        <v>69.75</v>
      </c>
      <c r="G26" s="44">
        <f t="shared" si="6"/>
        <v>-293.625</v>
      </c>
      <c r="H26" s="44">
        <f t="shared" si="6"/>
        <v>-282</v>
      </c>
      <c r="I26" s="44">
        <f t="shared" si="6"/>
        <v>-645.375</v>
      </c>
      <c r="J26" s="44">
        <f t="shared" si="6"/>
        <v>-633.75</v>
      </c>
      <c r="K26" s="44">
        <f t="shared" si="6"/>
        <v>-622.125</v>
      </c>
      <c r="L26" s="44">
        <f t="shared" si="6"/>
        <v>-610.5</v>
      </c>
      <c r="M26" s="44">
        <f t="shared" si="6"/>
        <v>-598.875</v>
      </c>
      <c r="N26" s="44">
        <f t="shared" si="6"/>
        <v>-587.25</v>
      </c>
      <c r="O26" s="44">
        <f t="shared" si="6"/>
        <v>-575.625</v>
      </c>
      <c r="P26" s="44">
        <f t="shared" si="6"/>
        <v>-564</v>
      </c>
      <c r="Q26" s="44">
        <f t="shared" si="6"/>
        <v>-552.375</v>
      </c>
      <c r="R26" s="44">
        <f t="shared" si="6"/>
        <v>-540.75</v>
      </c>
      <c r="S26" s="44">
        <f t="shared" si="6"/>
        <v>-529.125</v>
      </c>
      <c r="T26" s="44">
        <f t="shared" si="6"/>
        <v>-517.5</v>
      </c>
      <c r="U26" s="44">
        <f t="shared" si="6"/>
        <v>-505.875</v>
      </c>
    </row>
    <row r="27" spans="1:21">
      <c r="B27" s="53"/>
      <c r="C27" s="53"/>
      <c r="D27" s="53"/>
      <c r="E27" s="53"/>
      <c r="F27" s="53"/>
      <c r="G27" s="53"/>
      <c r="H27" s="53"/>
      <c r="I27" s="53"/>
      <c r="J27" s="53"/>
      <c r="K27" s="53"/>
      <c r="L27" s="53"/>
      <c r="M27" s="53"/>
      <c r="N27" s="53"/>
      <c r="O27" s="53"/>
      <c r="P27" s="53"/>
      <c r="Q27" s="53"/>
      <c r="R27" s="53"/>
      <c r="S27" s="53"/>
      <c r="T27" s="53"/>
      <c r="U27" s="53"/>
    </row>
    <row r="28" spans="1:21" ht="17">
      <c r="A28" s="3" t="s">
        <v>18</v>
      </c>
      <c r="B28" s="44">
        <f>B23-B26</f>
        <v>131.75</v>
      </c>
      <c r="C28" s="44">
        <f t="shared" ref="C28:U28" si="7">C23-C26</f>
        <v>197.625</v>
      </c>
      <c r="D28" s="44">
        <f t="shared" si="7"/>
        <v>263.5</v>
      </c>
      <c r="E28" s="44">
        <f t="shared" si="7"/>
        <v>329.375</v>
      </c>
      <c r="F28" s="44">
        <f t="shared" si="7"/>
        <v>395.25</v>
      </c>
      <c r="G28" s="44">
        <f t="shared" si="7"/>
        <v>-1663.875</v>
      </c>
      <c r="H28" s="44">
        <f t="shared" si="7"/>
        <v>-1598</v>
      </c>
      <c r="I28" s="44">
        <f t="shared" si="7"/>
        <v>-3657.125</v>
      </c>
      <c r="J28" s="44">
        <f t="shared" si="7"/>
        <v>-3591.25</v>
      </c>
      <c r="K28" s="44">
        <f t="shared" si="7"/>
        <v>-3525.375</v>
      </c>
      <c r="L28" s="44">
        <f t="shared" si="7"/>
        <v>-3459.5</v>
      </c>
      <c r="M28" s="44">
        <f t="shared" si="7"/>
        <v>-3393.625</v>
      </c>
      <c r="N28" s="44">
        <f t="shared" si="7"/>
        <v>-3327.75</v>
      </c>
      <c r="O28" s="44">
        <f t="shared" si="7"/>
        <v>-3261.875</v>
      </c>
      <c r="P28" s="44">
        <f t="shared" si="7"/>
        <v>-3196</v>
      </c>
      <c r="Q28" s="44">
        <f t="shared" si="7"/>
        <v>-3130.125</v>
      </c>
      <c r="R28" s="44">
        <f t="shared" si="7"/>
        <v>-3064.25</v>
      </c>
      <c r="S28" s="44">
        <f t="shared" si="7"/>
        <v>-2998.375</v>
      </c>
      <c r="T28" s="44">
        <f t="shared" si="7"/>
        <v>-2932.5</v>
      </c>
      <c r="U28" s="44">
        <f t="shared" si="7"/>
        <v>-2866.625</v>
      </c>
    </row>
    <row r="29" spans="1:21" ht="17">
      <c r="A29" s="3" t="s">
        <v>19</v>
      </c>
      <c r="B29" s="54">
        <f>B28/B4</f>
        <v>0.37642857142857145</v>
      </c>
      <c r="C29" s="54">
        <f t="shared" ref="C29:U29" si="8">C28/C4</f>
        <v>0.37642857142857145</v>
      </c>
      <c r="D29" s="54">
        <f t="shared" si="8"/>
        <v>0.37642857142857145</v>
      </c>
      <c r="E29" s="54">
        <f t="shared" si="8"/>
        <v>0.37642857142857145</v>
      </c>
      <c r="F29" s="54">
        <f t="shared" si="8"/>
        <v>0.37642857142857145</v>
      </c>
      <c r="G29" s="54">
        <f t="shared" si="8"/>
        <v>-1.358265306122449</v>
      </c>
      <c r="H29" s="54">
        <f t="shared" si="8"/>
        <v>-1.1414285714285715</v>
      </c>
      <c r="I29" s="54">
        <f t="shared" si="8"/>
        <v>-2.3219841269841268</v>
      </c>
      <c r="J29" s="54">
        <f t="shared" si="8"/>
        <v>-2.052142857142857</v>
      </c>
      <c r="K29" s="54">
        <f t="shared" si="8"/>
        <v>-1.8313636363636363</v>
      </c>
      <c r="L29" s="54">
        <f t="shared" si="8"/>
        <v>-1.6473809523809524</v>
      </c>
      <c r="M29" s="54">
        <f t="shared" si="8"/>
        <v>-1.4917032967032966</v>
      </c>
      <c r="N29" s="54">
        <f t="shared" si="8"/>
        <v>-1.358265306122449</v>
      </c>
      <c r="O29" s="54">
        <f t="shared" si="8"/>
        <v>-1.2426190476190475</v>
      </c>
      <c r="P29" s="54">
        <f t="shared" si="8"/>
        <v>-1.1414285714285715</v>
      </c>
      <c r="Q29" s="54">
        <f t="shared" si="8"/>
        <v>-1.052142857142857</v>
      </c>
      <c r="R29" s="54">
        <f t="shared" si="8"/>
        <v>-0.97277777777777774</v>
      </c>
      <c r="S29" s="54">
        <f t="shared" si="8"/>
        <v>-0.90176691729323311</v>
      </c>
      <c r="T29" s="54">
        <f t="shared" si="8"/>
        <v>-0.83785714285714286</v>
      </c>
      <c r="U29" s="54">
        <f t="shared" si="8"/>
        <v>-0.78003401360544222</v>
      </c>
    </row>
    <row r="30" spans="1:21">
      <c r="B30" s="37"/>
      <c r="C30" s="37"/>
      <c r="D30" s="37"/>
      <c r="E30" s="37"/>
      <c r="F30" s="37"/>
      <c r="G30" s="37"/>
      <c r="H30" s="37"/>
      <c r="I30" s="37"/>
      <c r="J30" s="37"/>
      <c r="K30" s="37"/>
      <c r="L30" s="37"/>
      <c r="M30" s="37"/>
      <c r="N30" s="37"/>
      <c r="O30" s="37"/>
      <c r="P30" s="37"/>
      <c r="Q30" s="37"/>
      <c r="R30" s="37"/>
      <c r="S30" s="37"/>
      <c r="T30" s="37"/>
      <c r="U30" s="37"/>
    </row>
    <row r="31" spans="1:21" ht="17">
      <c r="B31" s="55">
        <f>Vol!B2</f>
        <v>2018</v>
      </c>
      <c r="C31" s="55">
        <f>B31+1</f>
        <v>2019</v>
      </c>
      <c r="D31" s="55">
        <f>C31+1</f>
        <v>2020</v>
      </c>
      <c r="E31" s="55">
        <f>D31+1</f>
        <v>2021</v>
      </c>
      <c r="F31" s="55">
        <f>E31+1</f>
        <v>2022</v>
      </c>
    </row>
    <row r="32" spans="1:21" ht="17">
      <c r="A32" s="3" t="s">
        <v>22</v>
      </c>
      <c r="B32" s="44">
        <f>SUM(B4:E4)</f>
        <v>2450</v>
      </c>
      <c r="C32" s="44">
        <f>SUM(F4:I4)</f>
        <v>5250</v>
      </c>
      <c r="D32" s="44">
        <f>SUM(J4:M4)</f>
        <v>8050</v>
      </c>
      <c r="E32" s="44">
        <f>SUM(N4:Q4)</f>
        <v>10850</v>
      </c>
      <c r="F32" s="44">
        <f>SUM(R4:U4)</f>
        <v>13650</v>
      </c>
    </row>
    <row r="34" spans="1:6" ht="17">
      <c r="A34" s="3" t="s">
        <v>21</v>
      </c>
      <c r="B34" s="44">
        <f>SUM(B13:E13)</f>
        <v>1.7714285714285714</v>
      </c>
      <c r="C34" s="44">
        <f>SUM(F13:I13)</f>
        <v>0.18412698412698414</v>
      </c>
      <c r="D34" s="44">
        <f>SUM(J13:M13)</f>
        <v>-3.245221445221445</v>
      </c>
      <c r="E34" s="44">
        <f>SUM(N13:Q13)</f>
        <v>-1.9345538215286113</v>
      </c>
      <c r="F34" s="44">
        <f>SUM(R13:U13)</f>
        <v>-1.1686597445995943</v>
      </c>
    </row>
    <row r="35" spans="1:6" ht="17">
      <c r="A35" s="3" t="s">
        <v>20</v>
      </c>
      <c r="B35" s="54">
        <f>B34/B$32</f>
        <v>7.230320699708455E-4</v>
      </c>
      <c r="C35" s="54">
        <f>C34/C$32</f>
        <v>3.5071806500377932E-5</v>
      </c>
      <c r="D35" s="54">
        <f>D34/D$32</f>
        <v>-4.0313309878527268E-4</v>
      </c>
      <c r="E35" s="54">
        <f>E34/E$32</f>
        <v>-1.7829989138512547E-4</v>
      </c>
      <c r="F35" s="54">
        <f>F34/F$32</f>
        <v>-8.5616098505464787E-5</v>
      </c>
    </row>
    <row r="37" spans="1:6" ht="17">
      <c r="A37" s="3" t="s">
        <v>23</v>
      </c>
      <c r="B37" s="44">
        <f>SUM(B23:E23)</f>
        <v>1085</v>
      </c>
      <c r="C37" s="44">
        <f>SUM(F23:I23)</f>
        <v>-7675</v>
      </c>
      <c r="D37" s="44">
        <f>SUM(J23:M23)</f>
        <v>-16435</v>
      </c>
      <c r="E37" s="44">
        <f>SUM(N23:Q23)</f>
        <v>-15195</v>
      </c>
      <c r="F37" s="44">
        <f>SUM(R23:U23)</f>
        <v>-13955</v>
      </c>
    </row>
    <row r="38" spans="1:6" ht="17">
      <c r="A38" s="3" t="s">
        <v>20</v>
      </c>
      <c r="B38" s="54">
        <f>B37/B$32</f>
        <v>0.44285714285714284</v>
      </c>
      <c r="C38" s="54">
        <f>C37/C$32</f>
        <v>-1.4619047619047618</v>
      </c>
      <c r="D38" s="54">
        <f>D37/D$32</f>
        <v>-2.0416149068322982</v>
      </c>
      <c r="E38" s="54">
        <f>E37/E$32</f>
        <v>-1.4004608294930876</v>
      </c>
      <c r="F38" s="54">
        <f>F37/F$32</f>
        <v>-1.0223443223443223</v>
      </c>
    </row>
    <row r="40" spans="1:6" ht="17">
      <c r="A40" s="3" t="s">
        <v>24</v>
      </c>
      <c r="B40" s="44">
        <f>SUM(B28:E28)</f>
        <v>922.25</v>
      </c>
      <c r="C40" s="44">
        <f>SUM(F28:I28)</f>
        <v>-6523.75</v>
      </c>
      <c r="D40" s="44">
        <f>SUM(J28:M28)</f>
        <v>-13969.75</v>
      </c>
      <c r="E40" s="44">
        <f>SUM(N28:Q28)</f>
        <v>-12915.75</v>
      </c>
      <c r="F40" s="44">
        <f>SUM(R28:U28)</f>
        <v>-11861.75</v>
      </c>
    </row>
    <row r="41" spans="1:6" ht="17">
      <c r="A41" s="3" t="s">
        <v>20</v>
      </c>
      <c r="B41" s="54">
        <f>B40/B$32</f>
        <v>0.37642857142857145</v>
      </c>
      <c r="C41" s="54">
        <f>C40/C$32</f>
        <v>-1.2426190476190475</v>
      </c>
      <c r="D41" s="54">
        <f>D40/D$32</f>
        <v>-1.7353726708074535</v>
      </c>
      <c r="E41" s="54">
        <f>E40/E$32</f>
        <v>-1.1903917050691244</v>
      </c>
      <c r="F41" s="54">
        <f>F40/F$32</f>
        <v>-0.86899267399267399</v>
      </c>
    </row>
  </sheetData>
  <sheetProtection sheet="1" objects="1" scenarios="1" selectLockedCells="1" selectUnlockedCells="1"/>
  <mergeCells count="5">
    <mergeCell ref="B2:E2"/>
    <mergeCell ref="F2:I2"/>
    <mergeCell ref="N2:Q2"/>
    <mergeCell ref="R2:U2"/>
    <mergeCell ref="J2:M2"/>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BJ47"/>
  <sheetViews>
    <sheetView showGridLines="0" showRowColHeaders="0" zoomScale="80" zoomScaleNormal="80" zoomScalePageLayoutView="80" workbookViewId="0">
      <selection activeCell="B19" sqref="B19"/>
    </sheetView>
  </sheetViews>
  <sheetFormatPr baseColWidth="10" defaultColWidth="8.83203125" defaultRowHeight="13" x14ac:dyDescent="0"/>
  <cols>
    <col min="1" max="1" width="24.6640625" style="6" customWidth="1"/>
    <col min="2" max="61" width="12.5" style="6" customWidth="1"/>
    <col min="62" max="16384" width="8.83203125" style="6"/>
  </cols>
  <sheetData>
    <row r="1" spans="1:62" ht="100" customHeight="1"/>
    <row r="2" spans="1:62" s="3" customFormat="1" ht="17" customHeight="1">
      <c r="A2" s="37"/>
      <c r="B2" s="80">
        <f>Para!E9</f>
        <v>2018</v>
      </c>
      <c r="C2" s="80"/>
      <c r="D2" s="80"/>
      <c r="E2" s="80"/>
      <c r="F2" s="80">
        <f>B2+1</f>
        <v>2019</v>
      </c>
      <c r="G2" s="80"/>
      <c r="H2" s="80"/>
      <c r="I2" s="80"/>
      <c r="J2" s="80">
        <f>F2+1</f>
        <v>2020</v>
      </c>
      <c r="K2" s="80"/>
      <c r="L2" s="80"/>
      <c r="M2" s="80"/>
      <c r="N2" s="80">
        <f>J2+1</f>
        <v>2021</v>
      </c>
      <c r="O2" s="80"/>
      <c r="P2" s="80"/>
      <c r="Q2" s="80"/>
      <c r="R2" s="80">
        <f>N2+1</f>
        <v>2022</v>
      </c>
      <c r="S2" s="80"/>
      <c r="T2" s="80"/>
      <c r="U2" s="80"/>
    </row>
    <row r="3" spans="1:62" ht="17">
      <c r="A3" s="37"/>
      <c r="B3" s="43" t="str">
        <f>"Q1 "&amp;B2</f>
        <v>Q1 2018</v>
      </c>
      <c r="C3" s="43" t="str">
        <f>"Q2 "&amp;B2</f>
        <v>Q2 2018</v>
      </c>
      <c r="D3" s="43" t="str">
        <f>"Q3 "&amp;B2</f>
        <v>Q3 2018</v>
      </c>
      <c r="E3" s="43" t="str">
        <f>"Q4 "&amp;B2</f>
        <v>Q4 2018</v>
      </c>
      <c r="F3" s="43" t="str">
        <f t="shared" ref="F3" si="0">"Q1 "&amp;F2</f>
        <v>Q1 2019</v>
      </c>
      <c r="G3" s="43" t="str">
        <f t="shared" ref="G3" si="1">"Q2 "&amp;F2</f>
        <v>Q2 2019</v>
      </c>
      <c r="H3" s="43" t="str">
        <f t="shared" ref="H3" si="2">"Q3 "&amp;F2</f>
        <v>Q3 2019</v>
      </c>
      <c r="I3" s="43" t="str">
        <f t="shared" ref="I3" si="3">"Q4 "&amp;F2</f>
        <v>Q4 2019</v>
      </c>
      <c r="J3" s="43" t="str">
        <f t="shared" ref="J3" si="4">"Q1 "&amp;J2</f>
        <v>Q1 2020</v>
      </c>
      <c r="K3" s="43" t="str">
        <f t="shared" ref="K3" si="5">"Q2 "&amp;J2</f>
        <v>Q2 2020</v>
      </c>
      <c r="L3" s="43" t="str">
        <f t="shared" ref="L3" si="6">"Q3 "&amp;J2</f>
        <v>Q3 2020</v>
      </c>
      <c r="M3" s="43" t="str">
        <f t="shared" ref="M3" si="7">"Q4 "&amp;J2</f>
        <v>Q4 2020</v>
      </c>
      <c r="N3" s="43" t="str">
        <f t="shared" ref="N3" si="8">"Q1 "&amp;N2</f>
        <v>Q1 2021</v>
      </c>
      <c r="O3" s="43" t="str">
        <f t="shared" ref="O3" si="9">"Q2 "&amp;N2</f>
        <v>Q2 2021</v>
      </c>
      <c r="P3" s="43" t="str">
        <f t="shared" ref="P3" si="10">"Q3 "&amp;N2</f>
        <v>Q3 2021</v>
      </c>
      <c r="Q3" s="43" t="str">
        <f t="shared" ref="Q3" si="11">"Q4 "&amp;N2</f>
        <v>Q4 2021</v>
      </c>
      <c r="R3" s="43" t="str">
        <f t="shared" ref="R3" si="12">"Q1 "&amp;R2</f>
        <v>Q1 2022</v>
      </c>
      <c r="S3" s="43" t="str">
        <f t="shared" ref="S3" si="13">"Q2 "&amp;R2</f>
        <v>Q2 2022</v>
      </c>
      <c r="T3" s="43" t="str">
        <f t="shared" ref="T3" si="14">"Q3 "&amp;R2</f>
        <v>Q3 2022</v>
      </c>
      <c r="U3" s="43" t="str">
        <f t="shared" ref="U3" si="15">"Q4 "&amp;R2</f>
        <v>Q4 2022</v>
      </c>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row>
    <row r="4" spans="1:62" ht="17">
      <c r="A4" s="34" t="s">
        <v>18</v>
      </c>
      <c r="B4" s="44">
        <f>Inc!B28</f>
        <v>131.75</v>
      </c>
      <c r="C4" s="44">
        <f>Inc!C28</f>
        <v>197.625</v>
      </c>
      <c r="D4" s="44">
        <f>Inc!D28</f>
        <v>263.5</v>
      </c>
      <c r="E4" s="44">
        <f>Inc!E28</f>
        <v>329.375</v>
      </c>
      <c r="F4" s="44">
        <f>Inc!F28</f>
        <v>395.25</v>
      </c>
      <c r="G4" s="44">
        <f>Inc!G28</f>
        <v>-1663.875</v>
      </c>
      <c r="H4" s="44">
        <f>Inc!H28</f>
        <v>-1598</v>
      </c>
      <c r="I4" s="44">
        <f>Inc!I28</f>
        <v>-3657.125</v>
      </c>
      <c r="J4" s="44">
        <f>Inc!J28</f>
        <v>-3591.25</v>
      </c>
      <c r="K4" s="44">
        <f>Inc!K28</f>
        <v>-3525.375</v>
      </c>
      <c r="L4" s="44">
        <f>Inc!L28</f>
        <v>-3459.5</v>
      </c>
      <c r="M4" s="44">
        <f>Inc!M28</f>
        <v>-3393.625</v>
      </c>
      <c r="N4" s="44">
        <f>Inc!N28</f>
        <v>-3327.75</v>
      </c>
      <c r="O4" s="44">
        <f>Inc!O28</f>
        <v>-3261.875</v>
      </c>
      <c r="P4" s="44">
        <f>Inc!P28</f>
        <v>-3196</v>
      </c>
      <c r="Q4" s="44">
        <f>Inc!Q28</f>
        <v>-3130.125</v>
      </c>
      <c r="R4" s="44">
        <f>Inc!R28</f>
        <v>-3064.25</v>
      </c>
      <c r="S4" s="44">
        <f>Inc!S28</f>
        <v>-2998.375</v>
      </c>
      <c r="T4" s="44">
        <f>Inc!T28</f>
        <v>-2932.5</v>
      </c>
      <c r="U4" s="44">
        <f>Inc!U28</f>
        <v>-2866.625</v>
      </c>
      <c r="V4" s="37"/>
    </row>
    <row r="5" spans="1:62" ht="17">
      <c r="A5" s="34" t="s">
        <v>50</v>
      </c>
      <c r="B5" s="44">
        <f>Inc!B9</f>
        <v>0</v>
      </c>
      <c r="C5" s="44">
        <f>Inc!C9</f>
        <v>0</v>
      </c>
      <c r="D5" s="44">
        <f>Inc!D9</f>
        <v>0</v>
      </c>
      <c r="E5" s="44">
        <f>Inc!E9</f>
        <v>0</v>
      </c>
      <c r="F5" s="44">
        <f>Inc!F9</f>
        <v>0</v>
      </c>
      <c r="G5" s="44">
        <f>Inc!G9</f>
        <v>0</v>
      </c>
      <c r="H5" s="44">
        <f>Inc!H9</f>
        <v>0</v>
      </c>
      <c r="I5" s="44">
        <f>Inc!I9</f>
        <v>2500</v>
      </c>
      <c r="J5" s="44">
        <f>Inc!J9</f>
        <v>2500</v>
      </c>
      <c r="K5" s="44">
        <f>Inc!K9</f>
        <v>2500</v>
      </c>
      <c r="L5" s="44">
        <f>Inc!L9</f>
        <v>2500</v>
      </c>
      <c r="M5" s="44">
        <f>Inc!M9</f>
        <v>2500</v>
      </c>
      <c r="N5" s="44">
        <f>Inc!N9</f>
        <v>2500</v>
      </c>
      <c r="O5" s="44">
        <f>Inc!O9</f>
        <v>2500</v>
      </c>
      <c r="P5" s="44">
        <f>Inc!P9</f>
        <v>2500</v>
      </c>
      <c r="Q5" s="44">
        <f>Inc!Q9</f>
        <v>2500</v>
      </c>
      <c r="R5" s="44">
        <f>Inc!R9</f>
        <v>2500</v>
      </c>
      <c r="S5" s="44">
        <f>Inc!S9</f>
        <v>2500</v>
      </c>
      <c r="T5" s="44">
        <f>Inc!T9</f>
        <v>2500</v>
      </c>
      <c r="U5" s="44">
        <f>Inc!U9</f>
        <v>2500</v>
      </c>
      <c r="V5" s="37"/>
    </row>
    <row r="6" spans="1:62">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row>
    <row r="7" spans="1:62" ht="17">
      <c r="A7" s="34" t="s">
        <v>30</v>
      </c>
      <c r="B7" s="44">
        <f>Bal!B6-Bal!C6</f>
        <v>-189</v>
      </c>
      <c r="C7" s="44">
        <f>Bal!C6-Bal!D6</f>
        <v>-94.5</v>
      </c>
      <c r="D7" s="44">
        <f>Bal!D6-Bal!E6</f>
        <v>-94.5</v>
      </c>
      <c r="E7" s="44">
        <f>Bal!E6-Bal!F6</f>
        <v>-94.500000000000057</v>
      </c>
      <c r="F7" s="44">
        <f>Bal!F6-Bal!G6</f>
        <v>-94.499999999999943</v>
      </c>
      <c r="G7" s="44">
        <f>Bal!G6-Bal!H6</f>
        <v>-94.5</v>
      </c>
      <c r="H7" s="44">
        <f>Bal!H6-Bal!I6</f>
        <v>-94.5</v>
      </c>
      <c r="I7" s="44">
        <f>Bal!I6-Bal!J6</f>
        <v>-94.5</v>
      </c>
      <c r="J7" s="44">
        <f>Bal!J6-Bal!K6</f>
        <v>-94.500000000000114</v>
      </c>
      <c r="K7" s="44">
        <f>Bal!K6-Bal!L6</f>
        <v>-94.499999999999886</v>
      </c>
      <c r="L7" s="44">
        <f>Bal!L6-Bal!M6</f>
        <v>-94.5</v>
      </c>
      <c r="M7" s="44">
        <f>Bal!M6-Bal!N6</f>
        <v>-94.5</v>
      </c>
      <c r="N7" s="44">
        <f>Bal!N6-Bal!O6</f>
        <v>-94.5</v>
      </c>
      <c r="O7" s="44">
        <f>Bal!O6-Bal!P6</f>
        <v>-94.5</v>
      </c>
      <c r="P7" s="44">
        <f>Bal!P6-Bal!Q6</f>
        <v>-94.5</v>
      </c>
      <c r="Q7" s="44">
        <f>Bal!Q6-Bal!R6</f>
        <v>-94.5</v>
      </c>
      <c r="R7" s="44">
        <f>Bal!R6-Bal!S6</f>
        <v>-94.5</v>
      </c>
      <c r="S7" s="44">
        <f>Bal!S6-Bal!T6</f>
        <v>-94.500000000000227</v>
      </c>
      <c r="T7" s="44">
        <f>Bal!T6-Bal!U6</f>
        <v>-94.5</v>
      </c>
      <c r="U7" s="44">
        <f>Bal!U6-Bal!V6</f>
        <v>-94.5</v>
      </c>
      <c r="V7" s="37"/>
    </row>
    <row r="8" spans="1:62" ht="17">
      <c r="A8" s="34" t="s">
        <v>48</v>
      </c>
      <c r="B8" s="44">
        <f>Bal!B7-Bal!C7</f>
        <v>-93.6</v>
      </c>
      <c r="C8" s="44">
        <f>Bal!C7-Bal!D7</f>
        <v>-46.800000000000011</v>
      </c>
      <c r="D8" s="44">
        <f>Bal!D7-Bal!E7</f>
        <v>-46.799999999999983</v>
      </c>
      <c r="E8" s="44">
        <f>Bal!E7-Bal!F7</f>
        <v>-46.800000000000011</v>
      </c>
      <c r="F8" s="44">
        <f>Bal!F7-Bal!G7</f>
        <v>-46.800000000000011</v>
      </c>
      <c r="G8" s="44">
        <f>Bal!G7-Bal!H7</f>
        <v>-46.799999999999955</v>
      </c>
      <c r="H8" s="44">
        <f>Bal!H7-Bal!I7</f>
        <v>-46.800000000000011</v>
      </c>
      <c r="I8" s="44">
        <f>Bal!I7-Bal!J7</f>
        <v>-1246.8000000000002</v>
      </c>
      <c r="J8" s="44">
        <f>Bal!J7-Bal!K7</f>
        <v>-46.799999999999955</v>
      </c>
      <c r="K8" s="44">
        <f>Bal!K7-Bal!L7</f>
        <v>-46.799999999999955</v>
      </c>
      <c r="L8" s="44">
        <f>Bal!L7-Bal!M7</f>
        <v>-46.799999999999955</v>
      </c>
      <c r="M8" s="44">
        <f>Bal!M7-Bal!N7</f>
        <v>-46.799999999999955</v>
      </c>
      <c r="N8" s="44">
        <f>Bal!N7-Bal!O7</f>
        <v>-46.799999999999955</v>
      </c>
      <c r="O8" s="44">
        <f>Bal!O7-Bal!P7</f>
        <v>-46.800000000000182</v>
      </c>
      <c r="P8" s="44">
        <f>Bal!P7-Bal!Q7</f>
        <v>-46.799999999999955</v>
      </c>
      <c r="Q8" s="44">
        <f>Bal!Q7-Bal!R7</f>
        <v>-46.799999999999955</v>
      </c>
      <c r="R8" s="44">
        <f>Bal!R7-Bal!S7</f>
        <v>-46.799999999999955</v>
      </c>
      <c r="S8" s="44">
        <f>Bal!S7-Bal!T7</f>
        <v>-46.799999999999955</v>
      </c>
      <c r="T8" s="44">
        <f>Bal!T7-Bal!U7</f>
        <v>-46.800000000000182</v>
      </c>
      <c r="U8" s="44">
        <f>Bal!U7-Bal!V7</f>
        <v>-46.799999999999727</v>
      </c>
      <c r="V8" s="37"/>
    </row>
    <row r="9" spans="1:62" ht="17">
      <c r="A9" s="34" t="s">
        <v>32</v>
      </c>
      <c r="B9" s="44">
        <f>Bal!B8-Bal!C8</f>
        <v>0</v>
      </c>
      <c r="C9" s="44">
        <f>Bal!C8-Bal!D8</f>
        <v>0</v>
      </c>
      <c r="D9" s="44">
        <f>Bal!D8-Bal!E8</f>
        <v>0</v>
      </c>
      <c r="E9" s="44">
        <f>Bal!E8-Bal!F8</f>
        <v>0</v>
      </c>
      <c r="F9" s="44">
        <f>Bal!F8-Bal!G8</f>
        <v>0</v>
      </c>
      <c r="G9" s="44">
        <f>Bal!G8-Bal!H8</f>
        <v>0</v>
      </c>
      <c r="H9" s="44">
        <f>Bal!H8-Bal!I8</f>
        <v>0</v>
      </c>
      <c r="I9" s="44">
        <f>Bal!I8-Bal!J8</f>
        <v>0</v>
      </c>
      <c r="J9" s="44">
        <f>Bal!J8-Bal!K8</f>
        <v>0</v>
      </c>
      <c r="K9" s="44">
        <f>Bal!K8-Bal!L8</f>
        <v>0</v>
      </c>
      <c r="L9" s="44">
        <f>Bal!L8-Bal!M8</f>
        <v>0</v>
      </c>
      <c r="M9" s="44">
        <f>Bal!M8-Bal!N8</f>
        <v>0</v>
      </c>
      <c r="N9" s="44">
        <f>Bal!N8-Bal!O8</f>
        <v>0</v>
      </c>
      <c r="O9" s="44">
        <f>Bal!O8-Bal!P8</f>
        <v>0</v>
      </c>
      <c r="P9" s="44">
        <f>Bal!P8-Bal!Q8</f>
        <v>0</v>
      </c>
      <c r="Q9" s="44">
        <f>Bal!Q8-Bal!R8</f>
        <v>0</v>
      </c>
      <c r="R9" s="44">
        <f>Bal!R8-Bal!S8</f>
        <v>0</v>
      </c>
      <c r="S9" s="44">
        <f>Bal!S8-Bal!T8</f>
        <v>0</v>
      </c>
      <c r="T9" s="44">
        <f>Bal!T8-Bal!U8</f>
        <v>0</v>
      </c>
      <c r="U9" s="44">
        <f>Bal!U8-Bal!V8</f>
        <v>0</v>
      </c>
      <c r="V9" s="37"/>
    </row>
    <row r="10" spans="1:62" ht="17">
      <c r="A10" s="34" t="s">
        <v>34</v>
      </c>
      <c r="B10" s="44">
        <f>Bal!B12-Bal!C12</f>
        <v>0</v>
      </c>
      <c r="C10" s="44">
        <f>Bal!C12-Bal!D12</f>
        <v>0</v>
      </c>
      <c r="D10" s="44">
        <f>Bal!D12-Bal!E12</f>
        <v>0</v>
      </c>
      <c r="E10" s="44">
        <f>Bal!E12-Bal!F12</f>
        <v>0</v>
      </c>
      <c r="F10" s="44">
        <f>Bal!F12-Bal!G12</f>
        <v>0</v>
      </c>
      <c r="G10" s="44">
        <f>Bal!G12-Bal!H12</f>
        <v>0</v>
      </c>
      <c r="H10" s="44">
        <f>Bal!H12-Bal!I12</f>
        <v>0</v>
      </c>
      <c r="I10" s="44">
        <f>Bal!I12-Bal!J12</f>
        <v>-100000</v>
      </c>
      <c r="J10" s="44">
        <f>Bal!J12-Bal!K12</f>
        <v>0</v>
      </c>
      <c r="K10" s="44">
        <f>Bal!K12-Bal!L12</f>
        <v>0</v>
      </c>
      <c r="L10" s="44">
        <f>Bal!L12-Bal!M12</f>
        <v>0</v>
      </c>
      <c r="M10" s="44">
        <f>Bal!M12-Bal!N12</f>
        <v>0</v>
      </c>
      <c r="N10" s="44">
        <f>Bal!N12-Bal!O12</f>
        <v>0</v>
      </c>
      <c r="O10" s="44">
        <f>Bal!O12-Bal!P12</f>
        <v>0</v>
      </c>
      <c r="P10" s="44">
        <f>Bal!P12-Bal!Q12</f>
        <v>0</v>
      </c>
      <c r="Q10" s="44">
        <f>Bal!Q12-Bal!R12</f>
        <v>0</v>
      </c>
      <c r="R10" s="44">
        <f>Bal!R12-Bal!S12</f>
        <v>0</v>
      </c>
      <c r="S10" s="44">
        <f>Bal!S12-Bal!T12</f>
        <v>0</v>
      </c>
      <c r="T10" s="44">
        <f>Bal!T12-Bal!U12</f>
        <v>0</v>
      </c>
      <c r="U10" s="44">
        <f>Bal!U12-Bal!V12</f>
        <v>0</v>
      </c>
      <c r="V10" s="37"/>
    </row>
    <row r="11" spans="1:62">
      <c r="A11" s="37"/>
      <c r="B11" s="37"/>
      <c r="C11" s="37"/>
      <c r="D11" s="37"/>
      <c r="E11" s="37"/>
      <c r="F11" s="37"/>
      <c r="G11" s="37"/>
      <c r="H11" s="37"/>
      <c r="I11" s="37"/>
      <c r="J11" s="37"/>
      <c r="K11" s="37"/>
      <c r="L11" s="37"/>
      <c r="M11" s="37"/>
      <c r="N11" s="37"/>
      <c r="O11" s="37"/>
      <c r="P11" s="37"/>
      <c r="Q11" s="37"/>
      <c r="R11" s="37"/>
      <c r="S11" s="37"/>
      <c r="T11" s="37"/>
      <c r="U11" s="37"/>
      <c r="V11" s="37"/>
    </row>
    <row r="12" spans="1:62" ht="17">
      <c r="A12" s="34" t="s">
        <v>38</v>
      </c>
      <c r="B12" s="44">
        <f>Bal!C20-Bal!B20</f>
        <v>42</v>
      </c>
      <c r="C12" s="44">
        <f>Bal!D20-Bal!C20</f>
        <v>21</v>
      </c>
      <c r="D12" s="44">
        <f>Bal!E20-Bal!D20</f>
        <v>21</v>
      </c>
      <c r="E12" s="44">
        <f>Bal!F20-Bal!E20</f>
        <v>21</v>
      </c>
      <c r="F12" s="44">
        <f>Bal!G20-Bal!F20</f>
        <v>21</v>
      </c>
      <c r="G12" s="44">
        <f>Bal!H20-Bal!G20</f>
        <v>21</v>
      </c>
      <c r="H12" s="44">
        <f>Bal!I20-Bal!H20</f>
        <v>21</v>
      </c>
      <c r="I12" s="44">
        <f>Bal!J20-Bal!I20</f>
        <v>21</v>
      </c>
      <c r="J12" s="44">
        <f>Bal!K20-Bal!J20</f>
        <v>21</v>
      </c>
      <c r="K12" s="44">
        <f>Bal!L20-Bal!K20</f>
        <v>21</v>
      </c>
      <c r="L12" s="44">
        <f>Bal!M20-Bal!L20</f>
        <v>21</v>
      </c>
      <c r="M12" s="44">
        <f>Bal!N20-Bal!M20</f>
        <v>21</v>
      </c>
      <c r="N12" s="44">
        <f>Bal!O20-Bal!N20</f>
        <v>21</v>
      </c>
      <c r="O12" s="44">
        <f>Bal!P20-Bal!O20</f>
        <v>21</v>
      </c>
      <c r="P12" s="44">
        <f>Bal!Q20-Bal!P20</f>
        <v>21</v>
      </c>
      <c r="Q12" s="44">
        <f>Bal!R20-Bal!Q20</f>
        <v>21</v>
      </c>
      <c r="R12" s="44">
        <f>Bal!S20-Bal!R20</f>
        <v>21</v>
      </c>
      <c r="S12" s="44">
        <f>Bal!T20-Bal!S20</f>
        <v>21</v>
      </c>
      <c r="T12" s="44">
        <f>Bal!U20-Bal!T20</f>
        <v>21</v>
      </c>
      <c r="U12" s="44">
        <f>Bal!V20-Bal!U20</f>
        <v>21</v>
      </c>
      <c r="V12" s="37"/>
    </row>
    <row r="13" spans="1:62" ht="17">
      <c r="A13" s="34" t="s">
        <v>39</v>
      </c>
      <c r="B13" s="44">
        <f>Bal!C21-Bal!B21</f>
        <v>0</v>
      </c>
      <c r="C13" s="44">
        <f>Bal!D21-Bal!C21</f>
        <v>0</v>
      </c>
      <c r="D13" s="44">
        <f>Bal!E21-Bal!D21</f>
        <v>0</v>
      </c>
      <c r="E13" s="44">
        <f>Bal!F21-Bal!E21</f>
        <v>0</v>
      </c>
      <c r="F13" s="44">
        <f>Bal!G21-Bal!F21</f>
        <v>0</v>
      </c>
      <c r="G13" s="44">
        <f>Bal!H21-Bal!G21</f>
        <v>0</v>
      </c>
      <c r="H13" s="44">
        <f>Bal!I21-Bal!H21</f>
        <v>0</v>
      </c>
      <c r="I13" s="44">
        <f>Bal!J21-Bal!I21</f>
        <v>0</v>
      </c>
      <c r="J13" s="44">
        <f>Bal!K21-Bal!J21</f>
        <v>0</v>
      </c>
      <c r="K13" s="44">
        <f>Bal!L21-Bal!K21</f>
        <v>0</v>
      </c>
      <c r="L13" s="44">
        <f>Bal!M21-Bal!L21</f>
        <v>0</v>
      </c>
      <c r="M13" s="44">
        <f>Bal!N21-Bal!M21</f>
        <v>0</v>
      </c>
      <c r="N13" s="44">
        <f>Bal!O21-Bal!N21</f>
        <v>0</v>
      </c>
      <c r="O13" s="44">
        <f>Bal!P21-Bal!O21</f>
        <v>0</v>
      </c>
      <c r="P13" s="44">
        <f>Bal!Q21-Bal!P21</f>
        <v>0</v>
      </c>
      <c r="Q13" s="44">
        <f>Bal!R21-Bal!Q21</f>
        <v>0</v>
      </c>
      <c r="R13" s="44">
        <f>Bal!S21-Bal!R21</f>
        <v>0</v>
      </c>
      <c r="S13" s="44">
        <f>Bal!T21-Bal!S21</f>
        <v>0</v>
      </c>
      <c r="T13" s="44">
        <f>Bal!U21-Bal!T21</f>
        <v>0</v>
      </c>
      <c r="U13" s="44">
        <f>Bal!V21-Bal!U21</f>
        <v>0</v>
      </c>
      <c r="V13" s="37"/>
    </row>
    <row r="14" spans="1:62">
      <c r="A14" s="37"/>
      <c r="B14" s="37"/>
      <c r="C14" s="37"/>
      <c r="D14" s="37"/>
      <c r="E14" s="37"/>
      <c r="F14" s="37"/>
      <c r="G14" s="37"/>
      <c r="H14" s="37"/>
      <c r="I14" s="37"/>
      <c r="J14" s="37"/>
      <c r="K14" s="37"/>
      <c r="L14" s="37"/>
      <c r="M14" s="37"/>
      <c r="N14" s="37"/>
      <c r="O14" s="37"/>
      <c r="P14" s="37"/>
      <c r="Q14" s="37"/>
      <c r="R14" s="37"/>
      <c r="S14" s="37"/>
      <c r="T14" s="37"/>
      <c r="U14" s="37"/>
      <c r="V14" s="37"/>
    </row>
    <row r="15" spans="1:62" ht="17">
      <c r="A15" s="34" t="s">
        <v>41</v>
      </c>
      <c r="B15" s="44">
        <f>Bal!C25-Bal!B25</f>
        <v>0</v>
      </c>
      <c r="C15" s="44">
        <f>Bal!D25-Bal!C25</f>
        <v>0</v>
      </c>
      <c r="D15" s="44">
        <f>Bal!E25-Bal!D25</f>
        <v>0</v>
      </c>
      <c r="E15" s="44">
        <f>Bal!F25-Bal!E25</f>
        <v>0</v>
      </c>
      <c r="F15" s="44">
        <f>Bal!G25-Bal!F25</f>
        <v>0</v>
      </c>
      <c r="G15" s="44">
        <f>Bal!H25-Bal!G25</f>
        <v>100000</v>
      </c>
      <c r="H15" s="44">
        <f>Bal!I25-Bal!H25</f>
        <v>0</v>
      </c>
      <c r="I15" s="44">
        <f>Bal!J25-Bal!I25</f>
        <v>0</v>
      </c>
      <c r="J15" s="44">
        <f>Bal!K25-Bal!J25</f>
        <v>0</v>
      </c>
      <c r="K15" s="44">
        <f>Bal!L25-Bal!K25</f>
        <v>0</v>
      </c>
      <c r="L15" s="44">
        <f>Bal!M25-Bal!L25</f>
        <v>0</v>
      </c>
      <c r="M15" s="44">
        <f>Bal!N25-Bal!M25</f>
        <v>0</v>
      </c>
      <c r="N15" s="44">
        <f>Bal!O25-Bal!N25</f>
        <v>0</v>
      </c>
      <c r="O15" s="44">
        <f>Bal!P25-Bal!O25</f>
        <v>0</v>
      </c>
      <c r="P15" s="44">
        <f>Bal!Q25-Bal!P25</f>
        <v>0</v>
      </c>
      <c r="Q15" s="44">
        <f>Bal!R25-Bal!Q25</f>
        <v>0</v>
      </c>
      <c r="R15" s="44">
        <f>Bal!S25-Bal!R25</f>
        <v>0</v>
      </c>
      <c r="S15" s="44">
        <f>Bal!T25-Bal!S25</f>
        <v>0</v>
      </c>
      <c r="T15" s="44">
        <f>Bal!U25-Bal!T25</f>
        <v>0</v>
      </c>
      <c r="U15" s="44">
        <f>Bal!V25-Bal!U25</f>
        <v>0</v>
      </c>
      <c r="V15" s="37"/>
    </row>
    <row r="16" spans="1:62" ht="17">
      <c r="A16" s="34" t="s">
        <v>55</v>
      </c>
      <c r="B16" s="44">
        <f>Bal!C26-Bal!B26</f>
        <v>0</v>
      </c>
      <c r="C16" s="44">
        <f>Bal!D26-Bal!C26</f>
        <v>0</v>
      </c>
      <c r="D16" s="44">
        <f>Bal!E26-Bal!D26</f>
        <v>0</v>
      </c>
      <c r="E16" s="44">
        <f>Bal!F26-Bal!E26</f>
        <v>0</v>
      </c>
      <c r="F16" s="44">
        <f>Bal!G26-Bal!F26</f>
        <v>0</v>
      </c>
      <c r="G16" s="44">
        <f>Bal!H26-Bal!G26</f>
        <v>0</v>
      </c>
      <c r="H16" s="44">
        <f>Bal!I26-Bal!H26</f>
        <v>0</v>
      </c>
      <c r="I16" s="44">
        <f>Bal!J26-Bal!I26</f>
        <v>0</v>
      </c>
      <c r="J16" s="44">
        <f>Bal!K26-Bal!J26</f>
        <v>0</v>
      </c>
      <c r="K16" s="44">
        <f>Bal!L26-Bal!K26</f>
        <v>0</v>
      </c>
      <c r="L16" s="44">
        <f>Bal!M26-Bal!L26</f>
        <v>0</v>
      </c>
      <c r="M16" s="44">
        <f>Bal!N26-Bal!M26</f>
        <v>0</v>
      </c>
      <c r="N16" s="44">
        <f>Bal!O26-Bal!N26</f>
        <v>0</v>
      </c>
      <c r="O16" s="44">
        <f>Bal!P26-Bal!O26</f>
        <v>0</v>
      </c>
      <c r="P16" s="44">
        <f>Bal!Q26-Bal!P26</f>
        <v>0</v>
      </c>
      <c r="Q16" s="44">
        <f>Bal!R26-Bal!Q26</f>
        <v>0</v>
      </c>
      <c r="R16" s="44">
        <f>Bal!S26-Bal!R26</f>
        <v>0</v>
      </c>
      <c r="S16" s="44">
        <f>Bal!T26-Bal!S26</f>
        <v>0</v>
      </c>
      <c r="T16" s="44">
        <f>Bal!U26-Bal!T26</f>
        <v>0</v>
      </c>
      <c r="U16" s="44">
        <f>Bal!V26-Bal!U26</f>
        <v>0</v>
      </c>
      <c r="V16" s="37"/>
    </row>
    <row r="17" spans="1:22">
      <c r="A17" s="37"/>
      <c r="B17" s="37"/>
      <c r="C17" s="37"/>
      <c r="D17" s="37"/>
      <c r="E17" s="37"/>
      <c r="F17" s="37"/>
      <c r="G17" s="37"/>
      <c r="H17" s="37"/>
      <c r="I17" s="37"/>
      <c r="J17" s="37"/>
      <c r="K17" s="37"/>
      <c r="L17" s="37"/>
      <c r="M17" s="37"/>
      <c r="N17" s="37"/>
      <c r="O17" s="37"/>
      <c r="P17" s="37"/>
      <c r="Q17" s="37"/>
      <c r="R17" s="37"/>
      <c r="S17" s="37"/>
      <c r="T17" s="37"/>
      <c r="U17" s="37"/>
      <c r="V17" s="37"/>
    </row>
    <row r="18" spans="1:22" ht="17">
      <c r="A18" s="34" t="s">
        <v>44</v>
      </c>
      <c r="B18" s="44">
        <f>Bal!C30-Bal!B30</f>
        <v>0</v>
      </c>
      <c r="C18" s="44">
        <f>Bal!D30-Bal!C30</f>
        <v>0</v>
      </c>
      <c r="D18" s="44">
        <f>Bal!E30-Bal!D30</f>
        <v>0</v>
      </c>
      <c r="E18" s="44">
        <f>Bal!F30-Bal!E30</f>
        <v>0</v>
      </c>
      <c r="F18" s="44">
        <f>Bal!G30-Bal!F30</f>
        <v>0</v>
      </c>
      <c r="G18" s="44">
        <f>Bal!H30-Bal!G30</f>
        <v>0</v>
      </c>
      <c r="H18" s="44">
        <f>Bal!I30-Bal!H30</f>
        <v>0</v>
      </c>
      <c r="I18" s="44">
        <f>Bal!J30-Bal!I30</f>
        <v>0</v>
      </c>
      <c r="J18" s="44">
        <f>Bal!K30-Bal!J30</f>
        <v>0</v>
      </c>
      <c r="K18" s="44">
        <f>Bal!L30-Bal!K30</f>
        <v>0</v>
      </c>
      <c r="L18" s="44">
        <f>Bal!M30-Bal!L30</f>
        <v>0</v>
      </c>
      <c r="M18" s="44">
        <f>Bal!N30-Bal!M30</f>
        <v>0</v>
      </c>
      <c r="N18" s="44">
        <f>Bal!O30-Bal!N30</f>
        <v>0</v>
      </c>
      <c r="O18" s="44">
        <f>Bal!P30-Bal!O30</f>
        <v>0</v>
      </c>
      <c r="P18" s="44">
        <f>Bal!Q30-Bal!P30</f>
        <v>0</v>
      </c>
      <c r="Q18" s="44">
        <f>Bal!R30-Bal!Q30</f>
        <v>0</v>
      </c>
      <c r="R18" s="44">
        <f>Bal!S30-Bal!R30</f>
        <v>0</v>
      </c>
      <c r="S18" s="44">
        <f>Bal!T30-Bal!S30</f>
        <v>0</v>
      </c>
      <c r="T18" s="44">
        <f>Bal!U30-Bal!T30</f>
        <v>0</v>
      </c>
      <c r="U18" s="44">
        <f>Bal!V30-Bal!U30</f>
        <v>0</v>
      </c>
      <c r="V18" s="37"/>
    </row>
    <row r="19" spans="1:22" ht="17">
      <c r="A19" s="34" t="s">
        <v>59</v>
      </c>
      <c r="B19" s="45"/>
      <c r="C19" s="45"/>
      <c r="D19" s="45"/>
      <c r="E19" s="45"/>
      <c r="F19" s="45"/>
      <c r="G19" s="45"/>
      <c r="H19" s="45"/>
      <c r="I19" s="45"/>
      <c r="J19" s="45"/>
      <c r="K19" s="45"/>
      <c r="L19" s="45"/>
      <c r="M19" s="45"/>
      <c r="N19" s="45"/>
      <c r="O19" s="45"/>
      <c r="P19" s="45"/>
      <c r="Q19" s="45"/>
      <c r="R19" s="45"/>
      <c r="S19" s="45"/>
      <c r="T19" s="45"/>
      <c r="U19" s="45"/>
      <c r="V19" s="37"/>
    </row>
    <row r="20" spans="1:22">
      <c r="A20" s="37"/>
      <c r="B20" s="37"/>
      <c r="C20" s="37"/>
      <c r="D20" s="37"/>
      <c r="E20" s="37"/>
      <c r="F20" s="37"/>
      <c r="G20" s="37"/>
      <c r="H20" s="37"/>
      <c r="I20" s="37"/>
      <c r="J20" s="37"/>
      <c r="K20" s="37"/>
      <c r="L20" s="37"/>
      <c r="M20" s="37"/>
      <c r="N20" s="37"/>
      <c r="O20" s="37"/>
      <c r="P20" s="37"/>
      <c r="Q20" s="37"/>
      <c r="R20" s="37"/>
      <c r="S20" s="37"/>
      <c r="T20" s="37"/>
      <c r="U20" s="37"/>
      <c r="V20" s="37"/>
    </row>
    <row r="21" spans="1:22" ht="17">
      <c r="A21" s="34" t="s">
        <v>56</v>
      </c>
      <c r="B21" s="44">
        <f>SUM(B4:B19)</f>
        <v>-108.85</v>
      </c>
      <c r="C21" s="44">
        <f t="shared" ref="C21:U21" si="16">SUM(C4:C19)</f>
        <v>77.324999999999989</v>
      </c>
      <c r="D21" s="44">
        <f t="shared" si="16"/>
        <v>143.20000000000002</v>
      </c>
      <c r="E21" s="44">
        <f t="shared" si="16"/>
        <v>209.07499999999993</v>
      </c>
      <c r="F21" s="44">
        <f t="shared" si="16"/>
        <v>274.95000000000005</v>
      </c>
      <c r="G21" s="44">
        <f t="shared" si="16"/>
        <v>98215.824999999997</v>
      </c>
      <c r="H21" s="44">
        <f t="shared" si="16"/>
        <v>-1718.3</v>
      </c>
      <c r="I21" s="44">
        <f t="shared" si="16"/>
        <v>-102477.425</v>
      </c>
      <c r="J21" s="44">
        <f t="shared" si="16"/>
        <v>-1211.55</v>
      </c>
      <c r="K21" s="44">
        <f t="shared" si="16"/>
        <v>-1145.675</v>
      </c>
      <c r="L21" s="44">
        <f t="shared" si="16"/>
        <v>-1079.8</v>
      </c>
      <c r="M21" s="44">
        <f t="shared" si="16"/>
        <v>-1013.925</v>
      </c>
      <c r="N21" s="44">
        <f t="shared" si="16"/>
        <v>-948.05</v>
      </c>
      <c r="O21" s="44">
        <f t="shared" si="16"/>
        <v>-882.17500000000018</v>
      </c>
      <c r="P21" s="44">
        <f t="shared" si="16"/>
        <v>-816.3</v>
      </c>
      <c r="Q21" s="44">
        <f t="shared" si="16"/>
        <v>-750.42499999999995</v>
      </c>
      <c r="R21" s="44">
        <f t="shared" si="16"/>
        <v>-684.55</v>
      </c>
      <c r="S21" s="44">
        <f t="shared" si="16"/>
        <v>-618.67500000000018</v>
      </c>
      <c r="T21" s="44">
        <f t="shared" si="16"/>
        <v>-552.80000000000018</v>
      </c>
      <c r="U21" s="44">
        <f t="shared" si="16"/>
        <v>-486.92499999999973</v>
      </c>
      <c r="V21" s="37"/>
    </row>
    <row r="22" spans="1:22" ht="17">
      <c r="A22" s="34" t="s">
        <v>57</v>
      </c>
      <c r="B22" s="44">
        <f>B21</f>
        <v>-108.85</v>
      </c>
      <c r="C22" s="44">
        <f>C21+B22</f>
        <v>-31.525000000000006</v>
      </c>
      <c r="D22" s="44">
        <f t="shared" ref="D22:U22" si="17">D21+C22</f>
        <v>111.67500000000001</v>
      </c>
      <c r="E22" s="44">
        <f t="shared" si="17"/>
        <v>320.74999999999994</v>
      </c>
      <c r="F22" s="44">
        <f t="shared" si="17"/>
        <v>595.70000000000005</v>
      </c>
      <c r="G22" s="44">
        <f t="shared" si="17"/>
        <v>98811.524999999994</v>
      </c>
      <c r="H22" s="44">
        <f t="shared" si="17"/>
        <v>97093.224999999991</v>
      </c>
      <c r="I22" s="44">
        <f t="shared" si="17"/>
        <v>-5384.2000000000116</v>
      </c>
      <c r="J22" s="44">
        <f t="shared" si="17"/>
        <v>-6595.7500000000118</v>
      </c>
      <c r="K22" s="44">
        <f t="shared" si="17"/>
        <v>-7741.425000000012</v>
      </c>
      <c r="L22" s="44">
        <f t="shared" si="17"/>
        <v>-8821.2250000000113</v>
      </c>
      <c r="M22" s="44">
        <f t="shared" si="17"/>
        <v>-9835.1500000000106</v>
      </c>
      <c r="N22" s="44">
        <f t="shared" si="17"/>
        <v>-10783.20000000001</v>
      </c>
      <c r="O22" s="44">
        <f t="shared" si="17"/>
        <v>-11665.375000000011</v>
      </c>
      <c r="P22" s="44">
        <f t="shared" si="17"/>
        <v>-12481.67500000001</v>
      </c>
      <c r="Q22" s="44">
        <f t="shared" si="17"/>
        <v>-13232.100000000009</v>
      </c>
      <c r="R22" s="44">
        <f t="shared" si="17"/>
        <v>-13916.650000000009</v>
      </c>
      <c r="S22" s="44">
        <f t="shared" si="17"/>
        <v>-14535.325000000008</v>
      </c>
      <c r="T22" s="44">
        <f t="shared" si="17"/>
        <v>-15088.125000000007</v>
      </c>
      <c r="U22" s="44">
        <f t="shared" si="17"/>
        <v>-15575.050000000007</v>
      </c>
      <c r="V22" s="37"/>
    </row>
    <row r="23" spans="1:22">
      <c r="A23" s="37"/>
      <c r="B23" s="37"/>
      <c r="C23" s="37"/>
      <c r="D23" s="37"/>
      <c r="E23" s="37"/>
      <c r="F23" s="37"/>
      <c r="G23" s="37"/>
      <c r="H23" s="37"/>
      <c r="I23" s="37"/>
      <c r="J23" s="37"/>
      <c r="K23" s="37"/>
      <c r="L23" s="37"/>
      <c r="M23" s="37"/>
      <c r="N23" s="37"/>
      <c r="O23" s="37"/>
      <c r="P23" s="37"/>
      <c r="Q23" s="37"/>
      <c r="R23" s="37"/>
      <c r="S23" s="37"/>
      <c r="T23" s="37"/>
      <c r="U23" s="37"/>
      <c r="V23" s="37"/>
    </row>
    <row r="24" spans="1:22" ht="17">
      <c r="A24" s="37"/>
      <c r="B24" s="46">
        <f>Vol!B2</f>
        <v>2018</v>
      </c>
      <c r="C24" s="46">
        <f>B24+1</f>
        <v>2019</v>
      </c>
      <c r="D24" s="46">
        <f>C24+1</f>
        <v>2020</v>
      </c>
      <c r="E24" s="46">
        <f>D24+1</f>
        <v>2021</v>
      </c>
      <c r="F24" s="46">
        <f>E24+1</f>
        <v>2022</v>
      </c>
      <c r="G24" s="37"/>
      <c r="H24" s="37"/>
      <c r="I24" s="37"/>
      <c r="J24" s="37"/>
      <c r="K24" s="37"/>
      <c r="L24" s="37"/>
      <c r="M24" s="37"/>
      <c r="N24" s="37"/>
      <c r="O24" s="37"/>
      <c r="P24" s="37"/>
      <c r="Q24" s="37"/>
      <c r="R24" s="37"/>
      <c r="S24" s="37"/>
      <c r="T24" s="37"/>
      <c r="U24" s="37"/>
      <c r="V24" s="37"/>
    </row>
    <row r="25" spans="1:22" ht="17">
      <c r="A25" s="34" t="s">
        <v>18</v>
      </c>
      <c r="B25" s="44">
        <f>SUM(B4:E4)</f>
        <v>922.25</v>
      </c>
      <c r="C25" s="44">
        <f>SUM(F4:I4)</f>
        <v>-6523.75</v>
      </c>
      <c r="D25" s="44">
        <f>SUM(J4:M4)</f>
        <v>-13969.75</v>
      </c>
      <c r="E25" s="44">
        <f>SUM(N4:Q4)</f>
        <v>-12915.75</v>
      </c>
      <c r="F25" s="44">
        <f>SUM(R4:U4)</f>
        <v>-11861.75</v>
      </c>
      <c r="G25" s="37"/>
      <c r="H25" s="37"/>
      <c r="I25" s="37"/>
      <c r="J25" s="37"/>
      <c r="K25" s="37"/>
      <c r="L25" s="37"/>
      <c r="M25" s="37"/>
      <c r="N25" s="37"/>
      <c r="O25" s="37"/>
      <c r="P25" s="37"/>
      <c r="Q25" s="37"/>
      <c r="R25" s="37"/>
      <c r="S25" s="37"/>
      <c r="T25" s="37"/>
      <c r="U25" s="37"/>
      <c r="V25" s="37"/>
    </row>
    <row r="26" spans="1:22" ht="17">
      <c r="A26" s="34" t="s">
        <v>50</v>
      </c>
      <c r="B26" s="44">
        <f>SUM(B5:E5)</f>
        <v>0</v>
      </c>
      <c r="C26" s="44">
        <f>SUM(F5:I5)</f>
        <v>2500</v>
      </c>
      <c r="D26" s="44">
        <f>SUM(J5:M5)</f>
        <v>10000</v>
      </c>
      <c r="E26" s="44">
        <f>SUM(N5:Q5)</f>
        <v>10000</v>
      </c>
      <c r="F26" s="44">
        <f>SUM(R5:U5)</f>
        <v>10000</v>
      </c>
      <c r="G26" s="37"/>
      <c r="H26" s="37"/>
      <c r="I26" s="37"/>
      <c r="J26" s="37"/>
      <c r="K26" s="37"/>
      <c r="L26" s="37"/>
      <c r="M26" s="37"/>
      <c r="N26" s="37"/>
      <c r="O26" s="37"/>
      <c r="P26" s="37"/>
      <c r="Q26" s="37"/>
      <c r="R26" s="37"/>
      <c r="S26" s="37"/>
      <c r="T26" s="37"/>
      <c r="U26" s="37"/>
      <c r="V26" s="37"/>
    </row>
    <row r="27" spans="1:22">
      <c r="A27" s="37"/>
      <c r="B27" s="37"/>
      <c r="C27" s="37"/>
      <c r="D27" s="37"/>
      <c r="E27" s="37"/>
      <c r="F27" s="37"/>
      <c r="G27" s="37"/>
      <c r="H27" s="37"/>
      <c r="I27" s="37"/>
      <c r="J27" s="37"/>
      <c r="K27" s="37"/>
      <c r="L27" s="37"/>
      <c r="M27" s="37"/>
      <c r="N27" s="37"/>
      <c r="O27" s="37"/>
      <c r="P27" s="37"/>
      <c r="Q27" s="37"/>
      <c r="R27" s="37"/>
      <c r="S27" s="37"/>
      <c r="T27" s="37"/>
      <c r="U27" s="37"/>
      <c r="V27" s="37"/>
    </row>
    <row r="28" spans="1:22" ht="17">
      <c r="A28" s="34" t="s">
        <v>30</v>
      </c>
      <c r="B28" s="44">
        <f>SUM(B7:E7)</f>
        <v>-472.50000000000006</v>
      </c>
      <c r="C28" s="44">
        <f>SUM(F7:I7)</f>
        <v>-377.99999999999994</v>
      </c>
      <c r="D28" s="44">
        <f>SUM(J7:M7)</f>
        <v>-378</v>
      </c>
      <c r="E28" s="44">
        <f>SUM(N7:Q7)</f>
        <v>-378</v>
      </c>
      <c r="F28" s="44">
        <f>SUM(R7:U7)</f>
        <v>-378.00000000000023</v>
      </c>
      <c r="G28" s="37"/>
      <c r="H28" s="37"/>
      <c r="I28" s="37"/>
      <c r="J28" s="37"/>
      <c r="K28" s="37"/>
      <c r="L28" s="37"/>
      <c r="M28" s="37"/>
      <c r="N28" s="37"/>
      <c r="O28" s="37"/>
      <c r="P28" s="37"/>
      <c r="Q28" s="37"/>
      <c r="R28" s="37"/>
      <c r="S28" s="37"/>
      <c r="T28" s="37"/>
      <c r="U28" s="37"/>
      <c r="V28" s="37"/>
    </row>
    <row r="29" spans="1:22" ht="17">
      <c r="A29" s="34" t="s">
        <v>48</v>
      </c>
      <c r="B29" s="44">
        <f>SUM(B8:E8)</f>
        <v>-234</v>
      </c>
      <c r="C29" s="44">
        <f>SUM(F8:I8)</f>
        <v>-1387.2000000000003</v>
      </c>
      <c r="D29" s="44">
        <f>SUM(J8:M8)</f>
        <v>-187.19999999999982</v>
      </c>
      <c r="E29" s="44">
        <f>SUM(N8:Q8)</f>
        <v>-187.20000000000005</v>
      </c>
      <c r="F29" s="44">
        <f>SUM(R8:U8)</f>
        <v>-187.19999999999982</v>
      </c>
      <c r="G29" s="37"/>
      <c r="H29" s="37"/>
      <c r="I29" s="37"/>
      <c r="J29" s="37"/>
      <c r="K29" s="37"/>
      <c r="L29" s="37"/>
      <c r="M29" s="37"/>
      <c r="N29" s="37"/>
      <c r="O29" s="37"/>
      <c r="P29" s="37"/>
      <c r="Q29" s="37"/>
      <c r="R29" s="37"/>
      <c r="S29" s="37"/>
      <c r="T29" s="37"/>
      <c r="U29" s="37"/>
      <c r="V29" s="37"/>
    </row>
    <row r="30" spans="1:22" ht="17">
      <c r="A30" s="34" t="s">
        <v>32</v>
      </c>
      <c r="B30" s="44">
        <f>SUM(B9:E9)</f>
        <v>0</v>
      </c>
      <c r="C30" s="44">
        <f>SUM(F9:I9)</f>
        <v>0</v>
      </c>
      <c r="D30" s="44">
        <f>SUM(J9:M9)</f>
        <v>0</v>
      </c>
      <c r="E30" s="44">
        <f>SUM(N9:Q9)</f>
        <v>0</v>
      </c>
      <c r="F30" s="44">
        <f>SUM(R9:U9)</f>
        <v>0</v>
      </c>
      <c r="G30" s="37"/>
      <c r="H30" s="37"/>
      <c r="I30" s="37"/>
      <c r="J30" s="37"/>
      <c r="K30" s="37"/>
      <c r="L30" s="37"/>
      <c r="M30" s="37"/>
      <c r="N30" s="37"/>
      <c r="O30" s="37"/>
      <c r="P30" s="37"/>
      <c r="Q30" s="37"/>
      <c r="R30" s="37"/>
      <c r="S30" s="37"/>
      <c r="T30" s="37"/>
      <c r="U30" s="37"/>
      <c r="V30" s="37"/>
    </row>
    <row r="31" spans="1:22" ht="17">
      <c r="A31" s="34" t="s">
        <v>34</v>
      </c>
      <c r="B31" s="44">
        <f>SUM(B10:E10)</f>
        <v>0</v>
      </c>
      <c r="C31" s="44">
        <f>SUM(F10:I10)</f>
        <v>-100000</v>
      </c>
      <c r="D31" s="44">
        <f>SUM(J10:M10)</f>
        <v>0</v>
      </c>
      <c r="E31" s="44">
        <f>SUM(N10:Q10)</f>
        <v>0</v>
      </c>
      <c r="F31" s="44">
        <f>SUM(R10:U10)</f>
        <v>0</v>
      </c>
      <c r="G31" s="37"/>
      <c r="H31" s="37"/>
      <c r="I31" s="37"/>
      <c r="J31" s="37"/>
      <c r="K31" s="37"/>
      <c r="L31" s="37"/>
      <c r="M31" s="37"/>
      <c r="N31" s="37"/>
      <c r="O31" s="37"/>
      <c r="P31" s="37"/>
      <c r="Q31" s="37"/>
      <c r="R31" s="37"/>
      <c r="S31" s="37"/>
      <c r="T31" s="37"/>
      <c r="U31" s="37"/>
      <c r="V31" s="37"/>
    </row>
    <row r="32" spans="1:22">
      <c r="A32" s="37"/>
      <c r="B32" s="37"/>
      <c r="C32" s="37"/>
      <c r="D32" s="37"/>
      <c r="E32" s="37"/>
      <c r="F32" s="37"/>
      <c r="G32" s="37"/>
      <c r="H32" s="37"/>
      <c r="I32" s="37"/>
      <c r="J32" s="37"/>
      <c r="K32" s="37"/>
      <c r="L32" s="37"/>
      <c r="M32" s="37"/>
      <c r="N32" s="37"/>
      <c r="O32" s="37"/>
      <c r="P32" s="37"/>
      <c r="Q32" s="37"/>
      <c r="R32" s="37"/>
      <c r="S32" s="37"/>
      <c r="T32" s="37"/>
      <c r="U32" s="37"/>
      <c r="V32" s="37"/>
    </row>
    <row r="33" spans="1:22" ht="17">
      <c r="A33" s="34" t="s">
        <v>38</v>
      </c>
      <c r="B33" s="44">
        <f>SUM(B12:E12)</f>
        <v>105</v>
      </c>
      <c r="C33" s="44">
        <f>SUM(F12:I12)</f>
        <v>84</v>
      </c>
      <c r="D33" s="44">
        <f>SUM(J12:M12)</f>
        <v>84</v>
      </c>
      <c r="E33" s="44">
        <f>SUM(N12:Q12)</f>
        <v>84</v>
      </c>
      <c r="F33" s="44">
        <f>SUM(R12:U12)</f>
        <v>84</v>
      </c>
      <c r="G33" s="37"/>
      <c r="H33" s="37"/>
      <c r="I33" s="37"/>
      <c r="J33" s="37"/>
      <c r="K33" s="37"/>
      <c r="L33" s="37"/>
      <c r="M33" s="37"/>
      <c r="N33" s="37"/>
      <c r="O33" s="37"/>
      <c r="P33" s="37"/>
      <c r="Q33" s="37"/>
      <c r="R33" s="37"/>
      <c r="S33" s="37"/>
      <c r="T33" s="37"/>
      <c r="U33" s="37"/>
      <c r="V33" s="37"/>
    </row>
    <row r="34" spans="1:22" ht="17">
      <c r="A34" s="34" t="s">
        <v>39</v>
      </c>
      <c r="B34" s="44">
        <f>SUM(B13:E13)</f>
        <v>0</v>
      </c>
      <c r="C34" s="44">
        <f>SUM(F13:I13)</f>
        <v>0</v>
      </c>
      <c r="D34" s="44">
        <f>SUM(J13:M13)</f>
        <v>0</v>
      </c>
      <c r="E34" s="44">
        <f>SUM(N13:Q13)</f>
        <v>0</v>
      </c>
      <c r="F34" s="44">
        <f>SUM(R13:U13)</f>
        <v>0</v>
      </c>
      <c r="G34" s="37"/>
      <c r="H34" s="37"/>
      <c r="I34" s="37"/>
      <c r="J34" s="37"/>
      <c r="K34" s="37"/>
      <c r="L34" s="37"/>
      <c r="M34" s="37"/>
      <c r="N34" s="37"/>
      <c r="O34" s="37"/>
      <c r="P34" s="37"/>
      <c r="Q34" s="37"/>
      <c r="R34" s="37"/>
      <c r="S34" s="37"/>
      <c r="T34" s="37"/>
      <c r="U34" s="37"/>
      <c r="V34" s="37"/>
    </row>
    <row r="35" spans="1:22">
      <c r="A35" s="37"/>
      <c r="B35" s="37"/>
      <c r="C35" s="37"/>
      <c r="D35" s="37"/>
      <c r="E35" s="37"/>
      <c r="F35" s="37"/>
      <c r="G35" s="37"/>
      <c r="H35" s="37"/>
      <c r="I35" s="37"/>
      <c r="J35" s="37"/>
      <c r="K35" s="37"/>
      <c r="L35" s="37"/>
      <c r="M35" s="37"/>
      <c r="N35" s="37"/>
      <c r="O35" s="37"/>
      <c r="P35" s="37"/>
      <c r="Q35" s="37"/>
      <c r="R35" s="37"/>
      <c r="S35" s="37"/>
      <c r="T35" s="37"/>
      <c r="U35" s="37"/>
      <c r="V35" s="37"/>
    </row>
    <row r="36" spans="1:22" ht="17">
      <c r="A36" s="34" t="s">
        <v>41</v>
      </c>
      <c r="B36" s="44">
        <f>SUM(B15:E15)</f>
        <v>0</v>
      </c>
      <c r="C36" s="44">
        <f>SUM(F15:I15)</f>
        <v>100000</v>
      </c>
      <c r="D36" s="44">
        <f>SUM(J15:M15)</f>
        <v>0</v>
      </c>
      <c r="E36" s="44">
        <f>SUM(N15:Q15)</f>
        <v>0</v>
      </c>
      <c r="F36" s="44">
        <f>SUM(R15:U15)</f>
        <v>0</v>
      </c>
      <c r="G36" s="37"/>
      <c r="H36" s="37"/>
      <c r="I36" s="37"/>
      <c r="J36" s="37"/>
      <c r="K36" s="37"/>
      <c r="L36" s="37"/>
      <c r="M36" s="37"/>
      <c r="N36" s="37"/>
      <c r="O36" s="37"/>
      <c r="P36" s="37"/>
      <c r="Q36" s="37"/>
      <c r="R36" s="37"/>
      <c r="S36" s="37"/>
      <c r="T36" s="37"/>
      <c r="U36" s="37"/>
      <c r="V36" s="37"/>
    </row>
    <row r="37" spans="1:22" ht="17">
      <c r="A37" s="34" t="s">
        <v>55</v>
      </c>
      <c r="B37" s="44">
        <f>SUM(B16:E16)</f>
        <v>0</v>
      </c>
      <c r="C37" s="44">
        <f>SUM(F16:I16)</f>
        <v>0</v>
      </c>
      <c r="D37" s="44">
        <f>SUM(J16:M16)</f>
        <v>0</v>
      </c>
      <c r="E37" s="44">
        <f>SUM(N16:Q16)</f>
        <v>0</v>
      </c>
      <c r="F37" s="44">
        <f>SUM(R16:U16)</f>
        <v>0</v>
      </c>
      <c r="G37" s="37"/>
    </row>
    <row r="38" spans="1:22">
      <c r="A38" s="37"/>
      <c r="B38" s="37"/>
      <c r="C38" s="37"/>
      <c r="D38" s="37"/>
      <c r="E38" s="37"/>
      <c r="F38" s="37"/>
      <c r="G38" s="37"/>
      <c r="H38" s="37"/>
      <c r="I38" s="37"/>
      <c r="J38" s="37"/>
      <c r="K38" s="37"/>
      <c r="L38" s="37"/>
      <c r="M38" s="37"/>
      <c r="N38" s="37"/>
      <c r="O38" s="37"/>
      <c r="P38" s="37"/>
      <c r="Q38" s="37"/>
      <c r="R38" s="37"/>
      <c r="S38" s="37"/>
      <c r="T38" s="37"/>
      <c r="U38" s="37"/>
      <c r="V38" s="37"/>
    </row>
    <row r="39" spans="1:22" ht="17">
      <c r="A39" s="34" t="s">
        <v>44</v>
      </c>
      <c r="B39" s="44">
        <f>SUM(B18:E18)</f>
        <v>0</v>
      </c>
      <c r="C39" s="44">
        <f>SUM(F18:I18)</f>
        <v>0</v>
      </c>
      <c r="D39" s="44">
        <f>SUM(J18:M18)</f>
        <v>0</v>
      </c>
      <c r="E39" s="44">
        <f>SUM(N18:Q18)</f>
        <v>0</v>
      </c>
      <c r="F39" s="44">
        <f>SUM(R18:U18)</f>
        <v>0</v>
      </c>
      <c r="G39" s="37"/>
      <c r="H39" s="37"/>
      <c r="I39" s="37"/>
      <c r="J39" s="37"/>
      <c r="K39" s="37"/>
      <c r="L39" s="37"/>
      <c r="M39" s="37"/>
      <c r="N39" s="37"/>
      <c r="O39" s="37"/>
      <c r="P39" s="37"/>
      <c r="Q39" s="37"/>
      <c r="R39" s="37"/>
      <c r="S39" s="37"/>
      <c r="T39" s="37"/>
      <c r="U39" s="37"/>
      <c r="V39" s="37"/>
    </row>
    <row r="40" spans="1:22" ht="17">
      <c r="A40" s="34" t="s">
        <v>59</v>
      </c>
      <c r="B40" s="44">
        <f>SUM(B19:E19)</f>
        <v>0</v>
      </c>
      <c r="C40" s="44">
        <f>SUM(F19:I19)</f>
        <v>0</v>
      </c>
      <c r="D40" s="44">
        <f>SUM(J19:M19)</f>
        <v>0</v>
      </c>
      <c r="E40" s="44">
        <f>SUM(N19:Q19)</f>
        <v>0</v>
      </c>
      <c r="F40" s="44">
        <f>SUM(R19:U19)</f>
        <v>0</v>
      </c>
      <c r="G40" s="37"/>
      <c r="H40" s="37"/>
      <c r="I40" s="37"/>
      <c r="J40" s="37"/>
      <c r="K40" s="37"/>
      <c r="L40" s="37"/>
      <c r="M40" s="37"/>
      <c r="N40" s="37"/>
      <c r="O40" s="37"/>
      <c r="P40" s="37"/>
      <c r="Q40" s="37"/>
      <c r="R40" s="37"/>
      <c r="S40" s="37"/>
      <c r="T40" s="37"/>
      <c r="U40" s="37"/>
      <c r="V40" s="37"/>
    </row>
    <row r="41" spans="1:22">
      <c r="A41" s="37"/>
      <c r="B41" s="37"/>
      <c r="C41" s="37"/>
      <c r="D41" s="37"/>
      <c r="E41" s="37"/>
      <c r="F41" s="37"/>
      <c r="G41" s="37"/>
      <c r="H41" s="37"/>
      <c r="I41" s="37"/>
      <c r="J41" s="37"/>
      <c r="K41" s="37"/>
      <c r="L41" s="37"/>
      <c r="M41" s="37"/>
      <c r="N41" s="37"/>
      <c r="O41" s="37"/>
      <c r="P41" s="37"/>
      <c r="Q41" s="37"/>
      <c r="R41" s="37"/>
      <c r="S41" s="37"/>
      <c r="T41" s="37"/>
      <c r="U41" s="37"/>
      <c r="V41" s="37"/>
    </row>
    <row r="42" spans="1:22" ht="17">
      <c r="A42" s="34" t="s">
        <v>56</v>
      </c>
      <c r="B42" s="44">
        <f>SUM(B21:E21)</f>
        <v>320.74999999999994</v>
      </c>
      <c r="C42" s="44">
        <f>SUM(F21:I21)</f>
        <v>-5704.9500000000116</v>
      </c>
      <c r="D42" s="44">
        <f>SUM(J21:M21)</f>
        <v>-4450.95</v>
      </c>
      <c r="E42" s="44">
        <f>SUM(N21:Q21)</f>
        <v>-3396.95</v>
      </c>
      <c r="F42" s="44">
        <f>SUM(R21:U21)</f>
        <v>-2342.9499999999998</v>
      </c>
      <c r="G42" s="37"/>
      <c r="H42" s="37"/>
      <c r="I42" s="37"/>
      <c r="J42" s="37"/>
      <c r="K42" s="37"/>
      <c r="L42" s="37"/>
      <c r="M42" s="37"/>
      <c r="N42" s="37"/>
      <c r="O42" s="37"/>
      <c r="P42" s="37"/>
      <c r="Q42" s="37"/>
      <c r="R42" s="37"/>
      <c r="S42" s="37"/>
      <c r="T42" s="37"/>
      <c r="U42" s="37"/>
      <c r="V42" s="37"/>
    </row>
    <row r="43" spans="1:22" ht="17">
      <c r="A43" s="34" t="s">
        <v>57</v>
      </c>
      <c r="B43" s="44">
        <f>E22</f>
        <v>320.74999999999994</v>
      </c>
      <c r="C43" s="44">
        <f>B43+C42</f>
        <v>-5384.2000000000116</v>
      </c>
      <c r="D43" s="44">
        <f>C43+D42</f>
        <v>-9835.1500000000124</v>
      </c>
      <c r="E43" s="44">
        <f>D43+E42</f>
        <v>-13232.100000000013</v>
      </c>
      <c r="F43" s="44">
        <f>E43+F42</f>
        <v>-15575.050000000014</v>
      </c>
      <c r="G43" s="37"/>
      <c r="H43" s="37"/>
      <c r="I43" s="37"/>
      <c r="J43" s="37"/>
      <c r="K43" s="37"/>
      <c r="L43" s="37"/>
      <c r="M43" s="37"/>
      <c r="N43" s="37"/>
      <c r="O43" s="37"/>
      <c r="P43" s="37"/>
      <c r="Q43" s="37"/>
      <c r="R43" s="37"/>
      <c r="S43" s="37"/>
      <c r="T43" s="37"/>
      <c r="U43" s="37"/>
      <c r="V43" s="37"/>
    </row>
    <row r="44" spans="1:22">
      <c r="A44" s="37"/>
      <c r="B44" s="37"/>
      <c r="C44" s="37"/>
      <c r="D44" s="37"/>
      <c r="E44" s="37"/>
      <c r="F44" s="37"/>
      <c r="G44" s="37"/>
      <c r="H44" s="37"/>
      <c r="I44" s="37"/>
      <c r="J44" s="37"/>
      <c r="K44" s="37"/>
      <c r="L44" s="37"/>
      <c r="M44" s="37"/>
      <c r="N44" s="37"/>
      <c r="O44" s="37"/>
      <c r="P44" s="37"/>
      <c r="Q44" s="37"/>
      <c r="R44" s="37"/>
      <c r="S44" s="37"/>
      <c r="T44" s="37"/>
      <c r="U44" s="37"/>
      <c r="V44" s="37"/>
    </row>
    <row r="45" spans="1:22">
      <c r="H45" s="37"/>
      <c r="I45" s="37"/>
      <c r="J45" s="37"/>
      <c r="K45" s="37"/>
      <c r="L45" s="37"/>
      <c r="M45" s="37"/>
      <c r="N45" s="37"/>
      <c r="O45" s="37"/>
      <c r="P45" s="37"/>
      <c r="Q45" s="37"/>
      <c r="R45" s="37"/>
      <c r="S45" s="37"/>
      <c r="T45" s="37"/>
      <c r="U45" s="37"/>
      <c r="V45" s="37"/>
    </row>
    <row r="46" spans="1:22">
      <c r="H46" s="37"/>
      <c r="I46" s="37"/>
      <c r="J46" s="37"/>
      <c r="K46" s="37"/>
      <c r="L46" s="37"/>
      <c r="M46" s="37"/>
      <c r="N46" s="37"/>
      <c r="O46" s="37"/>
      <c r="P46" s="37"/>
      <c r="Q46" s="37"/>
      <c r="R46" s="37"/>
      <c r="S46" s="37"/>
      <c r="T46" s="37"/>
      <c r="U46" s="37"/>
      <c r="V46" s="37"/>
    </row>
    <row r="47" spans="1:22">
      <c r="A47" s="37"/>
      <c r="B47" s="37"/>
      <c r="C47" s="37"/>
      <c r="D47" s="37"/>
      <c r="E47" s="37"/>
      <c r="F47" s="37"/>
      <c r="G47" s="37"/>
      <c r="H47" s="37"/>
      <c r="I47" s="37"/>
      <c r="J47" s="37"/>
      <c r="K47" s="37"/>
      <c r="L47" s="37"/>
      <c r="M47" s="37"/>
      <c r="N47" s="37"/>
      <c r="O47" s="37"/>
      <c r="P47" s="37"/>
      <c r="Q47" s="37"/>
      <c r="R47" s="37"/>
      <c r="S47" s="37"/>
      <c r="T47" s="37"/>
      <c r="U47" s="37"/>
      <c r="V47" s="37"/>
    </row>
  </sheetData>
  <sheetProtection sheet="1" objects="1" scenarios="1" selectLockedCells="1"/>
  <mergeCells count="5">
    <mergeCell ref="B2:E2"/>
    <mergeCell ref="F2:I2"/>
    <mergeCell ref="J2:M2"/>
    <mergeCell ref="N2:Q2"/>
    <mergeCell ref="R2:U2"/>
  </mergeCell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showRowColHeaders="0" zoomScale="80" zoomScaleNormal="80" zoomScalePageLayoutView="80" workbookViewId="0">
      <selection activeCell="B4" sqref="B4"/>
    </sheetView>
  </sheetViews>
  <sheetFormatPr baseColWidth="10" defaultColWidth="8.83203125" defaultRowHeight="13" x14ac:dyDescent="0"/>
  <cols>
    <col min="1" max="1" width="28.6640625" style="22" customWidth="1"/>
    <col min="2" max="7" width="15.6640625" style="22" customWidth="1"/>
    <col min="8" max="16384" width="8.83203125" style="22"/>
  </cols>
  <sheetData>
    <row r="1" spans="1:6" ht="100" customHeight="1"/>
    <row r="2" spans="1:6" ht="26">
      <c r="A2" s="23" t="str">
        <f>"P&amp;L: "&amp;Para!B3</f>
        <v>P&amp;L: Company Name</v>
      </c>
    </row>
    <row r="3" spans="1:6" ht="26">
      <c r="A3" s="23"/>
    </row>
    <row r="4" spans="1:6" ht="17">
      <c r="A4" s="24"/>
      <c r="B4" s="25">
        <f>Inc!B31</f>
        <v>2018</v>
      </c>
      <c r="C4" s="25">
        <f>Inc!C31</f>
        <v>2019</v>
      </c>
      <c r="D4" s="25">
        <f>Inc!D31</f>
        <v>2020</v>
      </c>
      <c r="E4" s="25">
        <f>Inc!E31</f>
        <v>2021</v>
      </c>
      <c r="F4" s="25">
        <f>Inc!F31</f>
        <v>2022</v>
      </c>
    </row>
    <row r="5" spans="1:6" ht="17">
      <c r="A5" s="24" t="s">
        <v>1</v>
      </c>
      <c r="B5" s="26">
        <f>Inc!B32</f>
        <v>2450</v>
      </c>
      <c r="C5" s="26">
        <f>Inc!C32</f>
        <v>5250</v>
      </c>
      <c r="D5" s="26">
        <f>Inc!D32</f>
        <v>8050</v>
      </c>
      <c r="E5" s="26">
        <f>Inc!E32</f>
        <v>10850</v>
      </c>
      <c r="F5" s="26">
        <f>Inc!F32</f>
        <v>13650</v>
      </c>
    </row>
    <row r="6" spans="1:6">
      <c r="B6" s="27"/>
      <c r="C6" s="27"/>
      <c r="D6" s="27"/>
      <c r="E6" s="27"/>
      <c r="F6" s="27"/>
    </row>
    <row r="7" spans="1:6" ht="17">
      <c r="A7" s="24" t="s">
        <v>5</v>
      </c>
      <c r="B7" s="28">
        <f>SUM(Inc!B6:E6)</f>
        <v>700</v>
      </c>
      <c r="C7" s="28">
        <f>SUM(Inc!F6:I6)</f>
        <v>1500</v>
      </c>
      <c r="D7" s="28">
        <f>SUM(Inc!J6:M6)</f>
        <v>2300</v>
      </c>
      <c r="E7" s="28">
        <f>SUM(Inc!N6:Q6)</f>
        <v>3100</v>
      </c>
      <c r="F7" s="28">
        <f>SUM(Inc!R6:U6)</f>
        <v>3900</v>
      </c>
    </row>
    <row r="8" spans="1:6" ht="17">
      <c r="A8" s="24" t="s">
        <v>6</v>
      </c>
      <c r="B8" s="28">
        <f>SUM(Inc!B7:E7)</f>
        <v>280</v>
      </c>
      <c r="C8" s="28">
        <f>SUM(Inc!F7:I7)</f>
        <v>600</v>
      </c>
      <c r="D8" s="28">
        <f>SUM(Inc!J7:M7)</f>
        <v>920</v>
      </c>
      <c r="E8" s="28">
        <f>SUM(Inc!N7:Q7)</f>
        <v>1240</v>
      </c>
      <c r="F8" s="28">
        <f>SUM(Inc!R7:U7)</f>
        <v>1560</v>
      </c>
    </row>
    <row r="9" spans="1:6" ht="17">
      <c r="A9" s="24" t="s">
        <v>7</v>
      </c>
      <c r="B9" s="28">
        <f>SUM(Inc!B8:E8)</f>
        <v>385</v>
      </c>
      <c r="C9" s="28">
        <f>SUM(Inc!F8:I8)</f>
        <v>825</v>
      </c>
      <c r="D9" s="28">
        <f>SUM(Inc!J8:M8)</f>
        <v>1265</v>
      </c>
      <c r="E9" s="28">
        <f>SUM(Inc!N8:Q8)</f>
        <v>1705</v>
      </c>
      <c r="F9" s="28">
        <f>SUM(Inc!R8:U8)</f>
        <v>2145</v>
      </c>
    </row>
    <row r="10" spans="1:6" ht="17">
      <c r="A10" s="24" t="s">
        <v>50</v>
      </c>
      <c r="B10" s="28">
        <f>SUM(Inc!B9:E9)</f>
        <v>0</v>
      </c>
      <c r="C10" s="28">
        <f>SUM(Inc!F9:I9)</f>
        <v>2500</v>
      </c>
      <c r="D10" s="28">
        <f>SUM(Inc!J9:M9)</f>
        <v>10000</v>
      </c>
      <c r="E10" s="28">
        <f>SUM(Inc!N9:Q9)</f>
        <v>10000</v>
      </c>
      <c r="F10" s="28">
        <f>SUM(Inc!R9:U9)</f>
        <v>10000</v>
      </c>
    </row>
    <row r="11" spans="1:6">
      <c r="B11" s="27"/>
      <c r="C11" s="27"/>
      <c r="D11" s="27"/>
      <c r="E11" s="27"/>
      <c r="F11" s="27"/>
    </row>
    <row r="12" spans="1:6" ht="17">
      <c r="A12" s="24" t="s">
        <v>2</v>
      </c>
      <c r="B12" s="28">
        <f>SUM(B7:B10)</f>
        <v>1365</v>
      </c>
      <c r="C12" s="28">
        <f>SUM(C7:C10)</f>
        <v>5425</v>
      </c>
      <c r="D12" s="28">
        <f>SUM(D7:D10)</f>
        <v>14485</v>
      </c>
      <c r="E12" s="28">
        <f>SUM(E7:E10)</f>
        <v>16045</v>
      </c>
      <c r="F12" s="28">
        <f>SUM(F7:F10)</f>
        <v>17605</v>
      </c>
    </row>
    <row r="13" spans="1:6" ht="17">
      <c r="A13" s="24" t="s">
        <v>12</v>
      </c>
      <c r="B13" s="28">
        <f>B5-B12</f>
        <v>1085</v>
      </c>
      <c r="C13" s="28">
        <f>C5-C12</f>
        <v>-175</v>
      </c>
      <c r="D13" s="28">
        <f>D5-D12</f>
        <v>-6435</v>
      </c>
      <c r="E13" s="28">
        <f>E5-E12</f>
        <v>-5195</v>
      </c>
      <c r="F13" s="28">
        <f>F5-F12</f>
        <v>-3955</v>
      </c>
    </row>
    <row r="14" spans="1:6" ht="17">
      <c r="A14" s="24" t="s">
        <v>13</v>
      </c>
      <c r="B14" s="29">
        <f>B13/B5</f>
        <v>0.44285714285714284</v>
      </c>
      <c r="C14" s="29">
        <f>C13/C5</f>
        <v>-3.3333333333333333E-2</v>
      </c>
      <c r="D14" s="29">
        <f>D13/D5</f>
        <v>-0.79937888198757767</v>
      </c>
      <c r="E14" s="29">
        <f>E13/E5</f>
        <v>-0.47880184331797238</v>
      </c>
      <c r="F14" s="29">
        <f>F13/F5</f>
        <v>-0.28974358974358977</v>
      </c>
    </row>
    <row r="15" spans="1:6">
      <c r="B15" s="30"/>
      <c r="C15" s="30"/>
      <c r="D15" s="30"/>
      <c r="E15" s="30"/>
      <c r="F15" s="30"/>
    </row>
    <row r="16" spans="1:6" ht="17">
      <c r="A16" s="24" t="s">
        <v>8</v>
      </c>
      <c r="B16" s="28">
        <f>SUM(Inc!B15:E15)</f>
        <v>0</v>
      </c>
      <c r="C16" s="28">
        <f>SUM(Inc!F15:I15)</f>
        <v>0</v>
      </c>
      <c r="D16" s="28">
        <f>SUM(Inc!J15:M15)</f>
        <v>0</v>
      </c>
      <c r="E16" s="28">
        <f>SUM(Inc!N15:Q15)</f>
        <v>0</v>
      </c>
      <c r="F16" s="28">
        <f>SUM(Inc!R15:U15)</f>
        <v>0</v>
      </c>
    </row>
    <row r="17" spans="1:6" ht="17">
      <c r="A17" s="24" t="s">
        <v>9</v>
      </c>
      <c r="B17" s="28">
        <f>SUM(Inc!B16:E16)</f>
        <v>0</v>
      </c>
      <c r="C17" s="28">
        <f>SUM(Inc!F16:I16)</f>
        <v>0</v>
      </c>
      <c r="D17" s="28">
        <f>SUM(Inc!J16:M16)</f>
        <v>0</v>
      </c>
      <c r="E17" s="28">
        <f>SUM(Inc!N16:Q16)</f>
        <v>0</v>
      </c>
      <c r="F17" s="28">
        <f>SUM(Inc!R16:U16)</f>
        <v>0</v>
      </c>
    </row>
    <row r="18" spans="1:6" ht="17">
      <c r="A18" s="24" t="s">
        <v>10</v>
      </c>
      <c r="B18" s="28">
        <f>SUM(Inc!B17:E17)</f>
        <v>0</v>
      </c>
      <c r="C18" s="28">
        <f>SUM(Inc!F17:I17)</f>
        <v>0</v>
      </c>
      <c r="D18" s="28">
        <f>SUM(Inc!J17:M17)</f>
        <v>0</v>
      </c>
      <c r="E18" s="28">
        <f>SUM(Inc!N17:Q17)</f>
        <v>0</v>
      </c>
      <c r="F18" s="28">
        <f>SUM(Inc!R17:U17)</f>
        <v>0</v>
      </c>
    </row>
    <row r="19" spans="1:6" ht="17">
      <c r="A19" s="24" t="s">
        <v>51</v>
      </c>
      <c r="B19" s="28">
        <f>SUM(Inc!B18:E18)</f>
        <v>0</v>
      </c>
      <c r="C19" s="28">
        <f>SUM(Inc!F18:I18)</f>
        <v>7500</v>
      </c>
      <c r="D19" s="28">
        <f>SUM(Inc!J18:M18)</f>
        <v>10000</v>
      </c>
      <c r="E19" s="28">
        <f>SUM(Inc!N18:Q18)</f>
        <v>10000</v>
      </c>
      <c r="F19" s="28">
        <f>SUM(Inc!R18:U18)</f>
        <v>10000</v>
      </c>
    </row>
    <row r="20" spans="1:6" ht="17">
      <c r="A20" s="24" t="s">
        <v>11</v>
      </c>
      <c r="B20" s="28">
        <f>SUM(Inc!B19:E19)</f>
        <v>0</v>
      </c>
      <c r="C20" s="28">
        <f>SUM(Inc!F19:I19)</f>
        <v>0</v>
      </c>
      <c r="D20" s="28">
        <f>SUM(Inc!J19:M19)</f>
        <v>0</v>
      </c>
      <c r="E20" s="28">
        <f>SUM(Inc!N19:Q19)</f>
        <v>0</v>
      </c>
      <c r="F20" s="28">
        <f>SUM(Inc!R19:U19)</f>
        <v>0</v>
      </c>
    </row>
    <row r="21" spans="1:6">
      <c r="B21" s="27"/>
      <c r="C21" s="27"/>
      <c r="D21" s="27"/>
      <c r="E21" s="27"/>
      <c r="F21" s="27"/>
    </row>
    <row r="22" spans="1:6" ht="17">
      <c r="A22" s="24" t="s">
        <v>4</v>
      </c>
      <c r="B22" s="28">
        <f>SUM(B16:B20)</f>
        <v>0</v>
      </c>
      <c r="C22" s="28">
        <f>SUM(C16:C20)</f>
        <v>7500</v>
      </c>
      <c r="D22" s="28">
        <f>SUM(D16:D20)</f>
        <v>10000</v>
      </c>
      <c r="E22" s="28">
        <f>SUM(E16:E20)</f>
        <v>10000</v>
      </c>
      <c r="F22" s="28">
        <f>SUM(F16:F20)</f>
        <v>10000</v>
      </c>
    </row>
    <row r="23" spans="1:6">
      <c r="B23" s="27"/>
      <c r="C23" s="27"/>
      <c r="D23" s="27"/>
      <c r="E23" s="27"/>
      <c r="F23" s="27"/>
    </row>
    <row r="24" spans="1:6" ht="17">
      <c r="A24" s="24" t="s">
        <v>14</v>
      </c>
      <c r="B24" s="28">
        <f>B13-B22</f>
        <v>1085</v>
      </c>
      <c r="C24" s="28">
        <f>C13-C22</f>
        <v>-7675</v>
      </c>
      <c r="D24" s="28">
        <f>D13-D22</f>
        <v>-16435</v>
      </c>
      <c r="E24" s="28">
        <f>E13-E22</f>
        <v>-15195</v>
      </c>
      <c r="F24" s="28">
        <f>F13-F22</f>
        <v>-13955</v>
      </c>
    </row>
    <row r="25" spans="1:6" ht="17">
      <c r="A25" s="24" t="s">
        <v>15</v>
      </c>
      <c r="B25" s="29">
        <f>B24/B5</f>
        <v>0.44285714285714284</v>
      </c>
      <c r="C25" s="29">
        <f>C24/C5</f>
        <v>-1.4619047619047618</v>
      </c>
      <c r="D25" s="29">
        <f>D24/D5</f>
        <v>-2.0416149068322982</v>
      </c>
      <c r="E25" s="29">
        <f>E24/E5</f>
        <v>-1.4004608294930876</v>
      </c>
      <c r="F25" s="29">
        <f>F24/F5</f>
        <v>-1.0223443223443223</v>
      </c>
    </row>
    <row r="26" spans="1:6">
      <c r="B26" s="30"/>
      <c r="C26" s="30"/>
      <c r="D26" s="30"/>
      <c r="E26" s="30"/>
      <c r="F26" s="30"/>
    </row>
    <row r="27" spans="1:6" ht="17">
      <c r="A27" s="24" t="s">
        <v>17</v>
      </c>
      <c r="B27" s="28">
        <f>SUM(Inc!B26:E26)</f>
        <v>162.75</v>
      </c>
      <c r="C27" s="28">
        <f>SUM(Inc!F26:I26)</f>
        <v>-1151.25</v>
      </c>
      <c r="D27" s="28">
        <f>SUM(Inc!J26:M26)</f>
        <v>-2465.25</v>
      </c>
      <c r="E27" s="28">
        <f>SUM(Inc!N26:Q26)</f>
        <v>-2279.25</v>
      </c>
      <c r="F27" s="28">
        <f>SUM(Inc!R26:U26)</f>
        <v>-2093.25</v>
      </c>
    </row>
    <row r="28" spans="1:6">
      <c r="B28" s="27"/>
      <c r="C28" s="27"/>
      <c r="D28" s="27"/>
      <c r="E28" s="27"/>
      <c r="F28" s="27"/>
    </row>
    <row r="29" spans="1:6" ht="17">
      <c r="A29" s="24" t="s">
        <v>18</v>
      </c>
      <c r="B29" s="28">
        <f>B24-B27</f>
        <v>922.25</v>
      </c>
      <c r="C29" s="28">
        <f>C24-C27</f>
        <v>-6523.75</v>
      </c>
      <c r="D29" s="28">
        <f>D24-D27</f>
        <v>-13969.75</v>
      </c>
      <c r="E29" s="28">
        <f>E24-E27</f>
        <v>-12915.75</v>
      </c>
      <c r="F29" s="28">
        <f>F24-F27</f>
        <v>-11861.75</v>
      </c>
    </row>
    <row r="30" spans="1:6" ht="17">
      <c r="A30" s="24" t="s">
        <v>19</v>
      </c>
      <c r="B30" s="29">
        <f>B29/B5</f>
        <v>0.37642857142857145</v>
      </c>
      <c r="C30" s="29">
        <f>C29/C5</f>
        <v>-1.2426190476190475</v>
      </c>
      <c r="D30" s="29">
        <f>D29/D5</f>
        <v>-1.7353726708074535</v>
      </c>
      <c r="E30" s="29">
        <f>E29/E5</f>
        <v>-1.1903917050691244</v>
      </c>
      <c r="F30" s="29">
        <f>F29/F5</f>
        <v>-0.86899267399267399</v>
      </c>
    </row>
    <row r="32" spans="1:6" ht="26">
      <c r="A32" s="23" t="str">
        <f>"Balance Sheet: "&amp;Para!B3</f>
        <v>Balance Sheet: Company Name</v>
      </c>
    </row>
    <row r="33" spans="1:7" ht="26">
      <c r="A33" s="23"/>
    </row>
    <row r="34" spans="1:7" ht="17">
      <c r="B34" s="31" t="str">
        <f>Bal!B37</f>
        <v>Prior</v>
      </c>
      <c r="C34" s="31">
        <f>Bal!C37</f>
        <v>2018</v>
      </c>
      <c r="D34" s="31">
        <f>Bal!D37</f>
        <v>2019</v>
      </c>
      <c r="E34" s="31">
        <f>Bal!E37</f>
        <v>2020</v>
      </c>
      <c r="F34" s="31">
        <f>Bal!F37</f>
        <v>2021</v>
      </c>
      <c r="G34" s="31">
        <f>Bal!G37</f>
        <v>2022</v>
      </c>
    </row>
    <row r="35" spans="1:7" ht="17">
      <c r="A35" s="24" t="str">
        <f>Bal!A38</f>
        <v>Cash</v>
      </c>
      <c r="B35" s="28">
        <f>Bal!B38</f>
        <v>0</v>
      </c>
      <c r="C35" s="28">
        <f>Bal!C38</f>
        <v>320.74999999999994</v>
      </c>
      <c r="D35" s="28">
        <f>Bal!D38</f>
        <v>-5384.2000000000116</v>
      </c>
      <c r="E35" s="28">
        <f>Bal!E38</f>
        <v>-9835.1500000000106</v>
      </c>
      <c r="F35" s="28">
        <f>Bal!F38</f>
        <v>-13232.100000000009</v>
      </c>
      <c r="G35" s="28">
        <f>Bal!G38</f>
        <v>-15575.050000000007</v>
      </c>
    </row>
    <row r="36" spans="1:7" ht="17">
      <c r="A36" s="24" t="str">
        <f>Bal!A39</f>
        <v>Accounts Receivable</v>
      </c>
      <c r="B36" s="28">
        <f>Bal!B39</f>
        <v>0</v>
      </c>
      <c r="C36" s="28">
        <f>Bal!C39</f>
        <v>472.50000000000006</v>
      </c>
      <c r="D36" s="28">
        <f>Bal!D39</f>
        <v>850.5</v>
      </c>
      <c r="E36" s="28">
        <f>Bal!E39</f>
        <v>1228.5</v>
      </c>
      <c r="F36" s="28">
        <f>Bal!F39</f>
        <v>1606.5</v>
      </c>
      <c r="G36" s="28">
        <f>Bal!G39</f>
        <v>1984.5000000000002</v>
      </c>
    </row>
    <row r="37" spans="1:7" ht="17">
      <c r="A37" s="24" t="str">
        <f>Bal!A40</f>
        <v>Inventories</v>
      </c>
      <c r="B37" s="28">
        <f>Bal!B40</f>
        <v>0</v>
      </c>
      <c r="C37" s="28">
        <f>Bal!C40</f>
        <v>234</v>
      </c>
      <c r="D37" s="28">
        <f>Bal!D40</f>
        <v>1621.2</v>
      </c>
      <c r="E37" s="28">
        <f>Bal!E40</f>
        <v>1808.3999999999999</v>
      </c>
      <c r="F37" s="28">
        <f>Bal!F40</f>
        <v>1995.6</v>
      </c>
      <c r="G37" s="28">
        <f>Bal!G40</f>
        <v>2182.7999999999997</v>
      </c>
    </row>
    <row r="38" spans="1:7" ht="17">
      <c r="A38" s="24" t="str">
        <f>Bal!A41</f>
        <v>Other Current</v>
      </c>
      <c r="B38" s="28">
        <f>Bal!B41</f>
        <v>0</v>
      </c>
      <c r="C38" s="28">
        <f>Bal!C41</f>
        <v>0</v>
      </c>
      <c r="D38" s="28">
        <f>Bal!D41</f>
        <v>0</v>
      </c>
      <c r="E38" s="28">
        <f>Bal!E41</f>
        <v>0</v>
      </c>
      <c r="F38" s="28">
        <f>Bal!F41</f>
        <v>0</v>
      </c>
      <c r="G38" s="28">
        <f>Bal!G41</f>
        <v>0</v>
      </c>
    </row>
    <row r="40" spans="1:7" ht="17">
      <c r="A40" s="24" t="str">
        <f>Bal!A43</f>
        <v>Total Current</v>
      </c>
      <c r="B40" s="32">
        <f>Bal!B43</f>
        <v>0</v>
      </c>
      <c r="C40" s="32">
        <f>Bal!C43</f>
        <v>1027.25</v>
      </c>
      <c r="D40" s="32">
        <f>Bal!D43</f>
        <v>-2912.5000000000118</v>
      </c>
      <c r="E40" s="32">
        <f>Bal!E43</f>
        <v>-6798.2500000000109</v>
      </c>
      <c r="F40" s="32">
        <f>Bal!F43</f>
        <v>-9630.0000000000091</v>
      </c>
      <c r="G40" s="32">
        <f>Bal!G43</f>
        <v>-11407.750000000007</v>
      </c>
    </row>
    <row r="42" spans="1:7" ht="17">
      <c r="A42" s="24" t="str">
        <f>Bal!A45</f>
        <v>Fixed Assets</v>
      </c>
      <c r="B42" s="28">
        <f>Bal!B45</f>
        <v>0</v>
      </c>
      <c r="C42" s="28">
        <f>Bal!C45</f>
        <v>0</v>
      </c>
      <c r="D42" s="28">
        <f>Bal!D45</f>
        <v>100000</v>
      </c>
      <c r="E42" s="28">
        <f>Bal!E45</f>
        <v>100000</v>
      </c>
      <c r="F42" s="28">
        <f>Bal!F45</f>
        <v>100000</v>
      </c>
      <c r="G42" s="28">
        <f>Bal!G45</f>
        <v>100000</v>
      </c>
    </row>
    <row r="43" spans="1:7" ht="17">
      <c r="A43" s="24" t="str">
        <f>Bal!A46</f>
        <v>Less: Accum Deprec</v>
      </c>
      <c r="B43" s="28">
        <f>Bal!B46</f>
        <v>0</v>
      </c>
      <c r="C43" s="28">
        <f>Bal!C46</f>
        <v>0</v>
      </c>
      <c r="D43" s="28">
        <f>Bal!D46</f>
        <v>2500</v>
      </c>
      <c r="E43" s="28">
        <f>Bal!E46</f>
        <v>12500</v>
      </c>
      <c r="F43" s="28">
        <f>Bal!F46</f>
        <v>22500</v>
      </c>
      <c r="G43" s="28">
        <f>Bal!G46</f>
        <v>32500</v>
      </c>
    </row>
    <row r="44" spans="1:7" ht="17">
      <c r="A44" s="24" t="str">
        <f>Bal!A47</f>
        <v>Net Fixed Assets</v>
      </c>
      <c r="B44" s="28">
        <f>Bal!B47</f>
        <v>0</v>
      </c>
      <c r="C44" s="28">
        <f>Bal!C47</f>
        <v>0</v>
      </c>
      <c r="D44" s="28">
        <f>Bal!D47</f>
        <v>97500</v>
      </c>
      <c r="E44" s="28">
        <f>Bal!E47</f>
        <v>87500</v>
      </c>
      <c r="F44" s="28">
        <f>Bal!F47</f>
        <v>77500</v>
      </c>
      <c r="G44" s="28">
        <f>Bal!G47</f>
        <v>67500</v>
      </c>
    </row>
    <row r="46" spans="1:7" ht="17">
      <c r="A46" s="24" t="str">
        <f>Bal!A49</f>
        <v>Total Assets</v>
      </c>
      <c r="B46" s="32">
        <f>Bal!B49</f>
        <v>0</v>
      </c>
      <c r="C46" s="32">
        <f>Bal!C49</f>
        <v>1027.25</v>
      </c>
      <c r="D46" s="32">
        <f>Bal!D49</f>
        <v>94587.499999999985</v>
      </c>
      <c r="E46" s="32">
        <f>Bal!E49</f>
        <v>80701.749999999985</v>
      </c>
      <c r="F46" s="32">
        <f>Bal!F49</f>
        <v>67869.999999999985</v>
      </c>
      <c r="G46" s="32">
        <f>Bal!G49</f>
        <v>56092.249999999993</v>
      </c>
    </row>
    <row r="48" spans="1:7" ht="17">
      <c r="A48" s="24" t="str">
        <f>Bal!A51</f>
        <v>Accounts Payable</v>
      </c>
      <c r="B48" s="28">
        <f>Bal!B51</f>
        <v>0</v>
      </c>
      <c r="C48" s="28">
        <f>Bal!C51</f>
        <v>105</v>
      </c>
      <c r="D48" s="28">
        <f>Bal!D51</f>
        <v>189</v>
      </c>
      <c r="E48" s="28">
        <f>Bal!E51</f>
        <v>273</v>
      </c>
      <c r="F48" s="28">
        <f>Bal!F51</f>
        <v>357</v>
      </c>
      <c r="G48" s="28">
        <f>Bal!G51</f>
        <v>441</v>
      </c>
    </row>
    <row r="49" spans="1:7" ht="17">
      <c r="A49" s="24" t="str">
        <f>Bal!A52</f>
        <v>Other Current Lia</v>
      </c>
      <c r="B49" s="28">
        <f>Bal!B52</f>
        <v>0</v>
      </c>
      <c r="C49" s="28">
        <f>Bal!C52</f>
        <v>0</v>
      </c>
      <c r="D49" s="28">
        <f>Bal!D52</f>
        <v>0</v>
      </c>
      <c r="E49" s="28">
        <f>Bal!E52</f>
        <v>0</v>
      </c>
      <c r="F49" s="28">
        <f>Bal!F52</f>
        <v>0</v>
      </c>
      <c r="G49" s="28">
        <f>Bal!G52</f>
        <v>0</v>
      </c>
    </row>
    <row r="51" spans="1:7" ht="17">
      <c r="A51" s="24" t="str">
        <f>Bal!A54</f>
        <v>Total Current Lia</v>
      </c>
      <c r="B51" s="32">
        <f>Bal!B54</f>
        <v>0</v>
      </c>
      <c r="C51" s="32">
        <f>Bal!C54</f>
        <v>105</v>
      </c>
      <c r="D51" s="32">
        <f>Bal!D54</f>
        <v>189</v>
      </c>
      <c r="E51" s="32">
        <f>Bal!E54</f>
        <v>273</v>
      </c>
      <c r="F51" s="32">
        <f>Bal!F54</f>
        <v>357</v>
      </c>
      <c r="G51" s="32">
        <f>Bal!G54</f>
        <v>441</v>
      </c>
    </row>
    <row r="53" spans="1:7" ht="17">
      <c r="A53" s="24" t="str">
        <f>Bal!A56</f>
        <v>Notes Payable</v>
      </c>
      <c r="B53" s="28">
        <f>Bal!B56</f>
        <v>0</v>
      </c>
      <c r="C53" s="28">
        <f>Bal!C56</f>
        <v>0</v>
      </c>
      <c r="D53" s="28">
        <f>Bal!D56</f>
        <v>100000</v>
      </c>
      <c r="E53" s="28">
        <f>Bal!E56</f>
        <v>100000</v>
      </c>
      <c r="F53" s="28">
        <f>Bal!F56</f>
        <v>100000</v>
      </c>
      <c r="G53" s="28">
        <f>Bal!G56</f>
        <v>100000</v>
      </c>
    </row>
    <row r="54" spans="1:7" ht="17">
      <c r="A54" s="24" t="str">
        <f>Bal!A57</f>
        <v>Other Long Term</v>
      </c>
      <c r="B54" s="28">
        <f>Bal!B57</f>
        <v>0</v>
      </c>
      <c r="C54" s="28">
        <f>Bal!C57</f>
        <v>0</v>
      </c>
      <c r="D54" s="28">
        <f>Bal!D57</f>
        <v>0</v>
      </c>
      <c r="E54" s="28">
        <f>Bal!E57</f>
        <v>0</v>
      </c>
      <c r="F54" s="28">
        <f>Bal!F57</f>
        <v>0</v>
      </c>
      <c r="G54" s="28">
        <f>Bal!G57</f>
        <v>0</v>
      </c>
    </row>
    <row r="56" spans="1:7" ht="17">
      <c r="A56" s="24" t="str">
        <f>Bal!A59</f>
        <v>Total Liabilities</v>
      </c>
      <c r="B56" s="32">
        <f>Bal!B59</f>
        <v>0</v>
      </c>
      <c r="C56" s="32">
        <f>Bal!C59</f>
        <v>105</v>
      </c>
      <c r="D56" s="32">
        <f>Bal!D59</f>
        <v>100189</v>
      </c>
      <c r="E56" s="32">
        <f>Bal!E59</f>
        <v>100273</v>
      </c>
      <c r="F56" s="32">
        <f>Bal!F59</f>
        <v>100357</v>
      </c>
      <c r="G56" s="32">
        <f>Bal!G59</f>
        <v>100441</v>
      </c>
    </row>
    <row r="58" spans="1:7" ht="17">
      <c r="A58" s="24" t="str">
        <f>Bal!A61</f>
        <v>Paid In Capital</v>
      </c>
      <c r="B58" s="28">
        <f>Bal!B61</f>
        <v>0</v>
      </c>
      <c r="C58" s="28">
        <f>Bal!C61</f>
        <v>0</v>
      </c>
      <c r="D58" s="28">
        <f>Bal!D61</f>
        <v>0</v>
      </c>
      <c r="E58" s="28">
        <f>Bal!E61</f>
        <v>0</v>
      </c>
      <c r="F58" s="28">
        <f>Bal!F61</f>
        <v>0</v>
      </c>
      <c r="G58" s="28">
        <f>Bal!G61</f>
        <v>0</v>
      </c>
    </row>
    <row r="59" spans="1:7" ht="17">
      <c r="A59" s="24" t="str">
        <f>Bal!A62</f>
        <v>Retained Earnings</v>
      </c>
      <c r="B59" s="28">
        <f>Bal!B62</f>
        <v>0</v>
      </c>
      <c r="C59" s="28">
        <f>Bal!C62</f>
        <v>922.25</v>
      </c>
      <c r="D59" s="28">
        <f>Bal!D62</f>
        <v>-5601.5</v>
      </c>
      <c r="E59" s="28">
        <f>Bal!E62</f>
        <v>-19571.25</v>
      </c>
      <c r="F59" s="28">
        <f>Bal!F62</f>
        <v>-32487</v>
      </c>
      <c r="G59" s="28">
        <f>Bal!G62</f>
        <v>-44348.75</v>
      </c>
    </row>
    <row r="61" spans="1:7" ht="17">
      <c r="A61" s="24" t="str">
        <f>Bal!A64</f>
        <v>Total Equity</v>
      </c>
      <c r="B61" s="32">
        <f>Bal!B64</f>
        <v>0</v>
      </c>
      <c r="C61" s="32">
        <f>Bal!C64</f>
        <v>922.25</v>
      </c>
      <c r="D61" s="32">
        <f>Bal!D64</f>
        <v>-5601.5</v>
      </c>
      <c r="E61" s="32">
        <f>Bal!E64</f>
        <v>-19571.25</v>
      </c>
      <c r="F61" s="32">
        <f>Bal!F64</f>
        <v>-32487</v>
      </c>
      <c r="G61" s="32">
        <f>Bal!G64</f>
        <v>-44348.75</v>
      </c>
    </row>
    <row r="63" spans="1:7" ht="17">
      <c r="A63" s="24" t="str">
        <f>Bal!A66</f>
        <v>Total Lia &amp; Equity</v>
      </c>
      <c r="B63" s="32">
        <f>Bal!B66</f>
        <v>0</v>
      </c>
      <c r="C63" s="32">
        <f>Bal!C66</f>
        <v>1027.25</v>
      </c>
      <c r="D63" s="32">
        <f>Bal!D66</f>
        <v>94587.5</v>
      </c>
      <c r="E63" s="32">
        <f>Bal!E66</f>
        <v>80701.75</v>
      </c>
      <c r="F63" s="32">
        <f>Bal!F66</f>
        <v>67870</v>
      </c>
      <c r="G63" s="32">
        <f>Bal!G66</f>
        <v>56092.25</v>
      </c>
    </row>
    <row r="65" spans="1:6" ht="26">
      <c r="A65" s="23" t="str">
        <f>"Cash Flow: "&amp;Para!B3</f>
        <v>Cash Flow: Company Name</v>
      </c>
    </row>
    <row r="66" spans="1:6" ht="26">
      <c r="A66" s="23"/>
    </row>
    <row r="67" spans="1:6" ht="17">
      <c r="A67" s="30"/>
      <c r="B67" s="31">
        <f>CF!B24</f>
        <v>2018</v>
      </c>
      <c r="C67" s="31">
        <f>CF!C24</f>
        <v>2019</v>
      </c>
      <c r="D67" s="31">
        <f>CF!D24</f>
        <v>2020</v>
      </c>
      <c r="E67" s="31">
        <f>CF!E24</f>
        <v>2021</v>
      </c>
      <c r="F67" s="31">
        <f>CF!F24</f>
        <v>2022</v>
      </c>
    </row>
    <row r="68" spans="1:6" ht="17">
      <c r="A68" s="33" t="str">
        <f>CF!A25</f>
        <v>Net Profit After Tax</v>
      </c>
      <c r="B68" s="28">
        <f>CF!B25</f>
        <v>922.25</v>
      </c>
      <c r="C68" s="28">
        <f>CF!C25</f>
        <v>-6523.75</v>
      </c>
      <c r="D68" s="28">
        <f>CF!D25</f>
        <v>-13969.75</v>
      </c>
      <c r="E68" s="28">
        <f>CF!E25</f>
        <v>-12915.75</v>
      </c>
      <c r="F68" s="28">
        <f>CF!F25</f>
        <v>-11861.75</v>
      </c>
    </row>
    <row r="69" spans="1:6" ht="17">
      <c r="A69" s="33" t="str">
        <f>CF!A26</f>
        <v>Depreciation</v>
      </c>
      <c r="B69" s="28">
        <f>CF!B26</f>
        <v>0</v>
      </c>
      <c r="C69" s="28">
        <f>CF!C26</f>
        <v>2500</v>
      </c>
      <c r="D69" s="28">
        <f>CF!D26</f>
        <v>10000</v>
      </c>
      <c r="E69" s="28">
        <f>CF!E26</f>
        <v>10000</v>
      </c>
      <c r="F69" s="28">
        <f>CF!F26</f>
        <v>10000</v>
      </c>
    </row>
    <row r="71" spans="1:6" ht="17">
      <c r="A71" s="33" t="str">
        <f>CF!A28</f>
        <v>Accounts Receivable</v>
      </c>
      <c r="B71" s="28">
        <f>CF!B28</f>
        <v>-472.50000000000006</v>
      </c>
      <c r="C71" s="28">
        <f>CF!C28</f>
        <v>-377.99999999999994</v>
      </c>
      <c r="D71" s="28">
        <f>CF!D28</f>
        <v>-378</v>
      </c>
      <c r="E71" s="28">
        <f>CF!E28</f>
        <v>-378</v>
      </c>
      <c r="F71" s="28">
        <f>CF!F28</f>
        <v>-378.00000000000023</v>
      </c>
    </row>
    <row r="72" spans="1:6" ht="17">
      <c r="A72" s="33" t="str">
        <f>CF!A29</f>
        <v>Inventory</v>
      </c>
      <c r="B72" s="28">
        <f>CF!B29</f>
        <v>-234</v>
      </c>
      <c r="C72" s="28">
        <f>CF!C29</f>
        <v>-1387.2000000000003</v>
      </c>
      <c r="D72" s="28">
        <f>CF!D29</f>
        <v>-187.19999999999982</v>
      </c>
      <c r="E72" s="28">
        <f>CF!E29</f>
        <v>-187.20000000000005</v>
      </c>
      <c r="F72" s="28">
        <f>CF!F29</f>
        <v>-187.19999999999982</v>
      </c>
    </row>
    <row r="73" spans="1:6" ht="17">
      <c r="A73" s="33" t="str">
        <f>CF!A30</f>
        <v>Other Current</v>
      </c>
      <c r="B73" s="28">
        <f>CF!B30</f>
        <v>0</v>
      </c>
      <c r="C73" s="28">
        <f>CF!C30</f>
        <v>0</v>
      </c>
      <c r="D73" s="28">
        <f>CF!D30</f>
        <v>0</v>
      </c>
      <c r="E73" s="28">
        <f>CF!E30</f>
        <v>0</v>
      </c>
      <c r="F73" s="28">
        <f>CF!F30</f>
        <v>0</v>
      </c>
    </row>
    <row r="74" spans="1:6" ht="17">
      <c r="A74" s="33" t="str">
        <f>CF!A31</f>
        <v>Fixed Assets</v>
      </c>
      <c r="B74" s="28">
        <f>CF!B31</f>
        <v>0</v>
      </c>
      <c r="C74" s="28">
        <f>CF!C31</f>
        <v>-100000</v>
      </c>
      <c r="D74" s="28">
        <f>CF!D31</f>
        <v>0</v>
      </c>
      <c r="E74" s="28">
        <f>CF!E31</f>
        <v>0</v>
      </c>
      <c r="F74" s="28">
        <f>CF!F31</f>
        <v>0</v>
      </c>
    </row>
    <row r="76" spans="1:6" ht="17">
      <c r="A76" s="33" t="str">
        <f>CF!A33</f>
        <v>Accounts Payable</v>
      </c>
      <c r="B76" s="28">
        <f>CF!B33</f>
        <v>105</v>
      </c>
      <c r="C76" s="28">
        <f>CF!C33</f>
        <v>84</v>
      </c>
      <c r="D76" s="28">
        <f>CF!D33</f>
        <v>84</v>
      </c>
      <c r="E76" s="28">
        <f>CF!E33</f>
        <v>84</v>
      </c>
      <c r="F76" s="28">
        <f>CF!F33</f>
        <v>84</v>
      </c>
    </row>
    <row r="77" spans="1:6" ht="17">
      <c r="A77" s="33" t="str">
        <f>CF!A34</f>
        <v>Other Current Lia</v>
      </c>
      <c r="B77" s="28">
        <f>CF!B34</f>
        <v>0</v>
      </c>
      <c r="C77" s="28">
        <f>CF!C34</f>
        <v>0</v>
      </c>
      <c r="D77" s="28">
        <f>CF!D34</f>
        <v>0</v>
      </c>
      <c r="E77" s="28">
        <f>CF!E34</f>
        <v>0</v>
      </c>
      <c r="F77" s="28">
        <f>CF!F34</f>
        <v>0</v>
      </c>
    </row>
    <row r="79" spans="1:6" ht="17">
      <c r="A79" s="33" t="str">
        <f>CF!A36</f>
        <v>Notes Payable</v>
      </c>
      <c r="B79" s="28">
        <f>CF!B36</f>
        <v>0</v>
      </c>
      <c r="C79" s="28">
        <f>CF!C36</f>
        <v>100000</v>
      </c>
      <c r="D79" s="28">
        <f>CF!D36</f>
        <v>0</v>
      </c>
      <c r="E79" s="28">
        <f>CF!E36</f>
        <v>0</v>
      </c>
      <c r="F79" s="28">
        <f>CF!F36</f>
        <v>0</v>
      </c>
    </row>
    <row r="80" spans="1:6" ht="17">
      <c r="A80" s="33" t="str">
        <f>CF!A37</f>
        <v>Other Current Long Term</v>
      </c>
      <c r="B80" s="28">
        <f>CF!B37</f>
        <v>0</v>
      </c>
      <c r="C80" s="28">
        <f>CF!C37</f>
        <v>0</v>
      </c>
      <c r="D80" s="28">
        <f>CF!D37</f>
        <v>0</v>
      </c>
      <c r="E80" s="28">
        <f>CF!E37</f>
        <v>0</v>
      </c>
      <c r="F80" s="28">
        <f>CF!F37</f>
        <v>0</v>
      </c>
    </row>
    <row r="82" spans="1:6" ht="17">
      <c r="A82" s="33" t="str">
        <f>CF!A39</f>
        <v>Paid In Capital</v>
      </c>
      <c r="B82" s="28">
        <f>CF!B39</f>
        <v>0</v>
      </c>
      <c r="C82" s="28">
        <f>CF!C39</f>
        <v>0</v>
      </c>
      <c r="D82" s="28">
        <f>CF!D39</f>
        <v>0</v>
      </c>
      <c r="E82" s="28">
        <f>CF!E39</f>
        <v>0</v>
      </c>
      <c r="F82" s="28">
        <f>CF!F39</f>
        <v>0</v>
      </c>
    </row>
    <row r="83" spans="1:6" ht="17">
      <c r="A83" s="33" t="str">
        <f>CF!A40</f>
        <v>Dividends</v>
      </c>
      <c r="B83" s="28">
        <f>CF!B40</f>
        <v>0</v>
      </c>
      <c r="C83" s="28">
        <f>CF!C40</f>
        <v>0</v>
      </c>
      <c r="D83" s="28">
        <f>CF!D40</f>
        <v>0</v>
      </c>
      <c r="E83" s="28">
        <f>CF!E40</f>
        <v>0</v>
      </c>
      <c r="F83" s="28">
        <f>CF!F40</f>
        <v>0</v>
      </c>
    </row>
    <row r="85" spans="1:6" ht="17">
      <c r="A85" s="33" t="str">
        <f>CF!A42</f>
        <v>Net Cash</v>
      </c>
      <c r="B85" s="32">
        <f>CF!B42</f>
        <v>320.74999999999994</v>
      </c>
      <c r="C85" s="32">
        <f>CF!C42</f>
        <v>-5704.9500000000116</v>
      </c>
      <c r="D85" s="32">
        <f>CF!D42</f>
        <v>-4450.95</v>
      </c>
      <c r="E85" s="32">
        <f>CF!E42</f>
        <v>-3396.95</v>
      </c>
      <c r="F85" s="32">
        <f>CF!F42</f>
        <v>-2342.9499999999998</v>
      </c>
    </row>
    <row r="86" spans="1:6" ht="17">
      <c r="A86" s="33" t="str">
        <f>CF!A43</f>
        <v>Cumulative Cash</v>
      </c>
      <c r="B86" s="32">
        <f>CF!B43</f>
        <v>320.74999999999994</v>
      </c>
      <c r="C86" s="32">
        <f>CF!C43</f>
        <v>-5384.2000000000116</v>
      </c>
      <c r="D86" s="32">
        <f>CF!D43</f>
        <v>-9835.1500000000124</v>
      </c>
      <c r="E86" s="32">
        <f>CF!E43</f>
        <v>-13232.100000000013</v>
      </c>
      <c r="F86" s="32">
        <f>CF!F43</f>
        <v>-15575.050000000014</v>
      </c>
    </row>
  </sheetData>
  <sheetProtection sheet="1" objects="1" scenarios="1" selectLockedCells="1" selectUnlockedCells="1"/>
  <phoneticPr fontId="26" type="noConversion"/>
  <pageMargins left="0.7" right="0.7" top="0.75" bottom="0.75" header="0.3" footer="0.3"/>
  <pageSetup scale="69" orientation="portrait" horizontalDpi="4294967292" verticalDpi="4294967292"/>
  <rowBreaks count="2" manualBreakCount="2">
    <brk id="31" max="6" man="1"/>
    <brk id="64" max="6" man="1"/>
  </rowBreaks>
  <drawing r:id="rId1"/>
  <extLst>
    <ext xmlns:mx="http://schemas.microsoft.com/office/mac/excel/2008/main" uri="{64002731-A6B0-56B0-2670-7721B7C09600}">
      <mx:PLV Mode="0" OnePage="0" WScale="69"/>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vt:lpstr>
      <vt:lpstr>Home</vt:lpstr>
      <vt:lpstr>Para</vt:lpstr>
      <vt:lpstr>Vol</vt:lpstr>
      <vt:lpstr>Bal</vt:lpstr>
      <vt:lpstr>Inc</vt:lpstr>
      <vt:lpstr>CF</vt:lpstr>
      <vt:lpstr>Print</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Connaughton</cp:lastModifiedBy>
  <cp:lastPrinted>2018-04-20T18:06:06Z</cp:lastPrinted>
  <dcterms:created xsi:type="dcterms:W3CDTF">2008-11-16T14:36:34Z</dcterms:created>
  <dcterms:modified xsi:type="dcterms:W3CDTF">2018-05-04T12:45:56Z</dcterms:modified>
</cp:coreProperties>
</file>